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6ZIyOwHnHnj9wB25bclb5A+j7WE51/tsOFkB8tFRlNv5QZgk+jm/Mez4JxeGUWkiFCnAv56jQL5HHwQwx6Se+g==" workbookSaltValue="de21OaK+F3Vkjk2mnmgWR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S13" i="16"/>
  <c r="P13" i="16"/>
  <c r="AM13" i="20"/>
  <c r="K18" i="2"/>
  <c r="M13" i="2"/>
  <c r="M18" i="2"/>
  <c r="N13" i="2"/>
  <c r="N18" i="2"/>
  <c r="T13" i="12"/>
  <c r="AP17" i="20"/>
  <c r="BW11" i="20"/>
  <c r="T13" i="16"/>
  <c r="BH10" i="11"/>
  <c r="BH16" i="11"/>
  <c r="T13" i="20"/>
  <c r="BF15" i="8"/>
  <c r="BF9" i="8"/>
  <c r="AU18" i="21"/>
  <c r="AH13" i="16"/>
  <c r="AP13" i="16"/>
  <c r="T18" i="17"/>
  <c r="BG15" i="13"/>
  <c r="BE16" i="13"/>
  <c r="BE15" i="13"/>
  <c r="AX20" i="20"/>
  <c r="S19" i="8" l="1"/>
  <c r="BG10" i="8"/>
  <c r="BI15" i="11"/>
  <c r="BL17" i="11"/>
  <c r="L16" i="2"/>
  <c r="BH10" i="16"/>
  <c r="AZ12" i="11"/>
  <c r="BU16" i="17"/>
  <c r="BU10" i="17"/>
  <c r="BG15" i="11"/>
  <c r="V11" i="11"/>
  <c r="AL16" i="11"/>
  <c r="C16" i="6"/>
  <c r="BE9" i="13"/>
  <c r="BH17" i="16"/>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1"/>
  <c r="AD20" i="20"/>
  <c r="AK20" i="20"/>
  <c r="U12" i="11"/>
  <c r="AI20" i="20"/>
  <c r="E20" i="20"/>
  <c r="S20" i="20"/>
  <c r="AL20" i="20"/>
  <c r="F20" i="20"/>
  <c r="O20" i="20"/>
  <c r="AQ20" i="20"/>
  <c r="AF20" i="20"/>
  <c r="W20" i="20"/>
  <c r="AG20" i="20"/>
  <c r="AC20" i="20"/>
  <c r="O10" i="11"/>
  <c r="K20" i="20"/>
  <c r="AP20" i="20"/>
  <c r="AH20" i="20"/>
  <c r="O16" i="11"/>
  <c r="Q20" i="20"/>
  <c r="H20" i="20"/>
  <c r="Z20" i="20"/>
  <c r="Q9" i="11"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D20" i="12"/>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AQ20" i="16"/>
  <c r="S20" i="21"/>
  <c r="AF20" i="11"/>
  <c r="R20" i="17"/>
  <c r="AT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N20" i="17"/>
  <c r="AH20" i="11"/>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AF20" i="16"/>
  <c r="O20" i="16"/>
  <c r="BH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<sst xmlns="http://schemas.openxmlformats.org/spreadsheetml/2006/main" count="2088" uniqueCount="917">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</sst>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teOF2kA3EDccSKacwpIy2p09WrkYRSod7uCtrRC9uFPpjBQF5n/njgXKmw1vVNZZSbm8ld7VZDe/KMRJX+lOQ==" saltValue="7CTVfmLpkCA1692K/H7Gh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BARCELONA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54</v>
      </c>
      <c r="C9" s="403">
        <f>IF(ISNUMBER(IF(J_V="SI",Datos!I9,Datos!I9+Datos!Y9)),IF(J_V="SI",Datos!I9,Datos!I9+Datos!Y9)," - ")</f>
        <v>53303</v>
      </c>
      <c r="D9" s="404">
        <f>IF(ISNUMBER(C9/Datos!BH9),C9/Datos!BH9," - ")</f>
        <v>1005.7169811320755</v>
      </c>
      <c r="E9" s="403">
        <f>IF(ISNUMBER(IF(J_V="SI",Datos!J9,Datos!J9+Datos!Z9)),IF(J_V="SI",Datos!J9,Datos!J9+Datos!Z9)," - ")</f>
        <v>103450</v>
      </c>
      <c r="F9" s="404">
        <f>IF(ISNUMBER(E9/B9),E9/B9," - ")</f>
        <v>1915.7407407407406</v>
      </c>
      <c r="G9" s="403">
        <f>IF(ISNUMBER(IF(J_V="SI",Datos!K9,Datos!K9+Datos!AA9)),IF(J_V="SI",Datos!K9,Datos!K9+Datos!AA9)," - ")</f>
        <v>101829</v>
      </c>
      <c r="H9" s="404">
        <f>IF(ISNUMBER(G9/B9),G9/B9," - ")</f>
        <v>1885.7222222222222</v>
      </c>
      <c r="I9" s="403">
        <f>IF(ISNUMBER(IF(J_V="SI",Datos!L9,Datos!L9+Datos!AB9)),IF(J_V="SI",Datos!L9,Datos!L9+Datos!AB9)," - ")</f>
        <v>55333</v>
      </c>
      <c r="J9" s="404">
        <f>IF(ISNUMBER(I9/B9),I9/B9," - ")</f>
        <v>1024.6851851851852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5</v>
      </c>
      <c r="C10" s="403">
        <f>IF(ISNUMBER(Datos!I10),Datos!I10," - ")</f>
        <v>526</v>
      </c>
      <c r="D10" s="404">
        <f>IF(ISNUMBER(C10/Datos!BH10),C10/Datos!BH10," - ")</f>
        <v>105.2</v>
      </c>
      <c r="E10" s="403">
        <f>IF(ISNUMBER(Datos!J10),Datos!J10," - ")</f>
        <v>870</v>
      </c>
      <c r="F10" s="404">
        <f>IF(ISNUMBER(E10/B10),E10/B10," - ")</f>
        <v>174</v>
      </c>
      <c r="G10" s="403">
        <f>IF(ISNUMBER(Datos!K10),Datos!K10," - ")</f>
        <v>916</v>
      </c>
      <c r="H10" s="404">
        <f>IF(ISNUMBER(G10/B10),G10/B10," - ")</f>
        <v>183.2</v>
      </c>
      <c r="I10" s="403">
        <f>IF(ISNUMBER(Datos!L10),Datos!L10," - ")</f>
        <v>480</v>
      </c>
      <c r="J10" s="404">
        <f>IF(ISNUMBER(I10/B10),I10/B10," - ")</f>
        <v>96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8</v>
      </c>
      <c r="C11" s="403">
        <f>IF(ISNUMBER(IF(J_V="SI",Datos!I11,Datos!I11+Datos!Y11)),IF(J_V="SI",Datos!I11,Datos!I11+Datos!Y11)," - ")</f>
        <v>2970</v>
      </c>
      <c r="D11" s="404">
        <f>IF(ISNUMBER(C11/Datos!BH11),C11/Datos!BH11," - ")</f>
        <v>371.25</v>
      </c>
      <c r="E11" s="403">
        <f>IF(ISNUMBER(IF(J_V="SI",Datos!J11,Datos!J11+Datos!Z11)),IF(J_V="SI",Datos!J11,Datos!J11+Datos!Z11)," - ")</f>
        <v>7729</v>
      </c>
      <c r="F11" s="404">
        <f>IF(ISNUMBER(E11/B11),E11/B11," - ")</f>
        <v>966.125</v>
      </c>
      <c r="G11" s="403">
        <f>IF(ISNUMBER(IF(J_V="SI",Datos!K11,Datos!K11+Datos!AA11)),IF(J_V="SI",Datos!K11,Datos!K11+Datos!AA11)," - ")</f>
        <v>7793</v>
      </c>
      <c r="H11" s="404">
        <f>IF(ISNUMBER(G11/B11),G11/B11," - ")</f>
        <v>974.125</v>
      </c>
      <c r="I11" s="403">
        <f>IF(ISNUMBER(IF(J_V="SI",Datos!L11,Datos!L11+Datos!AB11)),IF(J_V="SI",Datos!L11,Datos!L11+Datos!AB11)," - ")</f>
        <v>2963</v>
      </c>
      <c r="J11" s="404">
        <f>IF(ISNUMBER(I11/B11),I11/B11," - ")</f>
        <v>370.375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67</v>
      </c>
      <c r="C13" s="849">
        <f>SUBTOTAL(9,C8:C12)</f>
        <v>56799</v>
      </c>
      <c r="D13" s="850" t="str">
        <f>IF(ISNUMBER(C13/Datos!BI13),C13/Datos!BI13," - ")</f>
        <v xml:space="preserve"> - </v>
      </c>
      <c r="E13" s="849">
        <f>SUBTOTAL(9,E8:E12)</f>
        <v>112049</v>
      </c>
      <c r="F13" s="850">
        <f>IF(ISNUMBER(E13/B13),E13/B13," - ")</f>
        <v>1672.3731343283582</v>
      </c>
      <c r="G13" s="849">
        <f>SUBTOTAL(9,G8:G12)</f>
        <v>110538</v>
      </c>
      <c r="H13" s="850">
        <f>IF(ISNUMBER(G13/B13),G13/B13," - ")</f>
        <v>1649.8208955223881</v>
      </c>
      <c r="I13" s="849">
        <f>SUBTOTAL(9,I8:I12)</f>
        <v>58776</v>
      </c>
      <c r="J13" s="850">
        <f>IF(ISNUMBER(I13/B13),I13/B13," - ")</f>
        <v>877.25373134328356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33</v>
      </c>
      <c r="C15" s="403">
        <f>IF(ISNUMBER(IF(D_I="SI",Datos!I15,Datos!I15+Datos!AC15)),IF(D_I="SI",Datos!I15,Datos!I15+Datos!AC15)," - ")</f>
        <v>18669</v>
      </c>
      <c r="D15" s="404">
        <f>IF(ISNUMBER(C15/Datos!BH15),C15/Datos!BH15," - ")</f>
        <v>565.72727272727275</v>
      </c>
      <c r="E15" s="403">
        <f>IF(ISNUMBER(IF(D_I="SI",Datos!J15,Datos!J15+Datos!AD15)),IF(D_I="SI",Datos!J15,Datos!J15+Datos!AD15)," - ")</f>
        <v>122849</v>
      </c>
      <c r="F15" s="404">
        <f>IF(ISNUMBER(E15/B15),E15/B15," - ")</f>
        <v>3722.6969696969695</v>
      </c>
      <c r="G15" s="403">
        <f>IF(ISNUMBER(IF(D_I="SI",Datos!K15,Datos!K15+Datos!AE15)),IF(D_I="SI",Datos!K15,Datos!K15+Datos!AE15)," - ")</f>
        <v>122511</v>
      </c>
      <c r="H15" s="404">
        <f>IF(ISNUMBER(G15/B15),G15/B15," - ")</f>
        <v>3712.4545454545455</v>
      </c>
      <c r="I15" s="403">
        <f>IF(ISNUMBER(IF(D_I="SI",Datos!L15,Datos!L15+Datos!AF15)),IF(D_I="SI",Datos!L15,Datos!L15+Datos!AF15)," - ")</f>
        <v>22021</v>
      </c>
      <c r="J15" s="404">
        <f>IF(ISNUMBER(I15/B15),I15/B15," - ")</f>
        <v>667.30303030303025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5</v>
      </c>
      <c r="C17" s="403">
        <f>IF(ISNUMBER(IF(D_I="SI",Datos!I17,Datos!I17+Datos!AC17)),IF(D_I="SI",Datos!I17,Datos!I17+Datos!AC17)," - ")</f>
        <v>1803</v>
      </c>
      <c r="D17" s="404">
        <f>IF(ISNUMBER(C17/Datos!BH17),C17/Datos!BH17," - ")</f>
        <v>360.6</v>
      </c>
      <c r="E17" s="403">
        <f>IF(ISNUMBER(IF(D_I="SI",Datos!J17,Datos!J17+Datos!AD17)),IF(D_I="SI",Datos!J17,Datos!J17+Datos!AD17)," - ")</f>
        <v>7548</v>
      </c>
      <c r="F17" s="404">
        <f>IF(ISNUMBER(E17/B17),E17/B17," - ")</f>
        <v>1509.6</v>
      </c>
      <c r="G17" s="403">
        <f>IF(ISNUMBER(IF(D_I="SI",Datos!K17,Datos!K17+Datos!AE17)),IF(D_I="SI",Datos!K17,Datos!K17+Datos!AE17)," - ")</f>
        <v>7768</v>
      </c>
      <c r="H17" s="404">
        <f>IF(ISNUMBER(G17/B17),G17/B17," - ")</f>
        <v>1553.6</v>
      </c>
      <c r="I17" s="403">
        <f>IF(ISNUMBER(IF(D_I="SI",Datos!L17,Datos!L17+Datos!AF17)),IF(D_I="SI",Datos!L17,Datos!L17+Datos!AF17)," - ")</f>
        <v>1692</v>
      </c>
      <c r="J17" s="404">
        <f>IF(ISNUMBER(I17/B17),I17/B17," - ")</f>
        <v>338.4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38</v>
      </c>
      <c r="C18" s="849">
        <f>SUBTOTAL(9,C14:C17)</f>
        <v>20472</v>
      </c>
      <c r="D18" s="850" t="str">
        <f>IF(ISNUMBER(C18/Datos!BI18),C18/Datos!BI18," - ")</f>
        <v xml:space="preserve"> - </v>
      </c>
      <c r="E18" s="849">
        <f>SUBTOTAL(9,E14:E17)</f>
        <v>130397</v>
      </c>
      <c r="F18" s="850">
        <f>IF(ISNUMBER(E18/B18),E18/B18," - ")</f>
        <v>3431.5</v>
      </c>
      <c r="G18" s="849">
        <f>SUBTOTAL(9,G14:G17)</f>
        <v>130279</v>
      </c>
      <c r="H18" s="850">
        <f>IF(ISNUMBER(G18/B18),G18/B18," - ")</f>
        <v>3428.3947368421054</v>
      </c>
      <c r="I18" s="849">
        <f>SUBTOTAL(9,I14:I17)</f>
        <v>23713</v>
      </c>
      <c r="J18" s="850">
        <f>IF(ISNUMBER(I18/B18),I18/B18," - ")</f>
        <v>624.02631578947364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100</v>
      </c>
      <c r="C19" s="794">
        <f>SUBTOTAL(9,C9:C18)</f>
        <v>77271</v>
      </c>
      <c r="D19" s="795" t="str">
        <f>IF(ISNUMBER(C19/Datos!BI19),C19/Datos!BI19," - ")</f>
        <v xml:space="preserve"> - </v>
      </c>
      <c r="E19" s="794">
        <f>SUBTOTAL(9,E9:E18)</f>
        <v>242446</v>
      </c>
      <c r="F19" s="795">
        <f>IF(ISNUMBER(E19/B19),E19/B19," - ")</f>
        <v>2424.46</v>
      </c>
      <c r="G19" s="794">
        <f>SUBTOTAL(9,G9:G18)</f>
        <v>240817</v>
      </c>
      <c r="H19" s="795">
        <f>IF(ISNUMBER(G19/B19),G19/B19," - ")</f>
        <v>2408.17</v>
      </c>
      <c r="I19" s="794">
        <f>SUBTOTAL(9,I9:I18)</f>
        <v>82489</v>
      </c>
      <c r="J19" s="795">
        <f>IF(ISNUMBER(I19/B19),I19/B19," - ")</f>
        <v>824.89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YXbE21/poKJgYUbiq6L2JBsUJW1Nun2UEzLVlvZOPrcHkClY5kLPWPPSJAFQhqd5ANFIFJunyhspGTnTKANjQ==" saltValue="ZIgY7A1DahiOBoEPE1Ep2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BARCELONA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54</v>
      </c>
      <c r="D9" s="403">
        <f>Datos!BK9</f>
        <v>0</v>
      </c>
      <c r="E9" s="403">
        <f>Datos!AQ9</f>
        <v>54</v>
      </c>
      <c r="F9" s="404">
        <f>IF(ISNUMBER(E9/Datos!BH9),E9/Datos!BH9," - ")</f>
        <v>1.0188679245283019</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5</v>
      </c>
      <c r="D10" s="403">
        <f>Datos!BK10</f>
        <v>0</v>
      </c>
      <c r="E10" s="403">
        <f>Datos!AQ10</f>
        <v>5</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8</v>
      </c>
      <c r="D11" s="403">
        <f>Datos!BK11</f>
        <v>0</v>
      </c>
      <c r="E11" s="403">
        <f>Datos!AQ11</f>
        <v>8</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33</v>
      </c>
      <c r="D15" s="403">
        <f>Datos!BK15</f>
        <v>0</v>
      </c>
      <c r="E15" s="403">
        <f>Datos!AQ15</f>
        <v>33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5</v>
      </c>
      <c r="D17" s="403">
        <f>Datos!BK17</f>
        <v>0</v>
      </c>
      <c r="E17" s="403">
        <f>Datos!AQ17</f>
        <v>5</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zCsjfjmkKWFZVt1XOjXsT5zqbii3GntlQ7/wAeU7SMAf9v8ZwO3gdNCA8lrDrz4PVqV0M4Y/ugEf+cHtLsiM4A==" saltValue="On5qHX5rs8H0O1nkYb1wR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BARCELONA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54</v>
      </c>
      <c r="C9" s="410">
        <f>Datos!AQ9</f>
        <v>54</v>
      </c>
      <c r="D9" s="403">
        <f>IF(ISNUMBER(Datos!M9),Datos!M9," - ")</f>
        <v>27173</v>
      </c>
      <c r="E9" s="404">
        <f t="shared" ref="E9:E13" si="0">IF(ISNUMBER(D9/B9),D9/B9," - ")</f>
        <v>503.2037037037037</v>
      </c>
      <c r="F9" s="403">
        <f>IF(ISNUMBER(Datos!N9),Datos!N9," - ")</f>
        <v>46574</v>
      </c>
      <c r="G9" s="404">
        <f t="shared" ref="G9:G13" si="1">IF(ISNUMBER(F9/B9),F9/B9," - ")</f>
        <v>862.48148148148152</v>
      </c>
      <c r="H9" s="403">
        <f>IF(ISNUMBER(Datos!O9),Datos!O9," - ")</f>
        <v>38749</v>
      </c>
      <c r="I9" s="404">
        <f>IF(ISNUMBER(H9/B9),H9/B9," - ")</f>
        <v>717.57407407407402</v>
      </c>
      <c r="BZ9" s="1186">
        <f>Datos!EZ9</f>
        <v>0</v>
      </c>
    </row>
    <row r="10" spans="1:78">
      <c r="A10" s="402" t="str">
        <f>Datos!A10</f>
        <v>Jdos. Violencia contra la mujer</v>
      </c>
      <c r="B10" s="427">
        <f>Datos!AO10</f>
        <v>5</v>
      </c>
      <c r="C10" s="410">
        <f>Datos!AQ10</f>
        <v>5</v>
      </c>
      <c r="D10" s="403">
        <f>IF(ISNUMBER(Datos!M10),Datos!M10," - ")</f>
        <v>331</v>
      </c>
      <c r="E10" s="404">
        <f>IF(ISNUMBER(D10/B10),D10/B10," - ")</f>
        <v>66.2</v>
      </c>
      <c r="F10" s="403">
        <f>IF(ISNUMBER(Datos!N10),Datos!N10," - ")</f>
        <v>368</v>
      </c>
      <c r="G10" s="404">
        <f>IF(ISNUMBER(F10/B10),F10/B10," - ")</f>
        <v>73.599999999999994</v>
      </c>
      <c r="H10" s="403">
        <f>IF(ISNUMBER(Datos!O10),Datos!O10," - ")</f>
        <v>226</v>
      </c>
      <c r="I10" s="404">
        <f t="shared" ref="I10:I12" si="2">IF(ISNUMBER(H10/B10),H10/B10," - ")</f>
        <v>45.2</v>
      </c>
      <c r="BZ10" s="1186">
        <f>Datos!EZ10</f>
        <v>0</v>
      </c>
    </row>
    <row r="11" spans="1:78">
      <c r="A11" s="402" t="str">
        <f>Datos!A11</f>
        <v xml:space="preserve">Jdos. Familia                                   </v>
      </c>
      <c r="B11" s="427">
        <f>Datos!AO11</f>
        <v>8</v>
      </c>
      <c r="C11" s="410">
        <f>Datos!AQ11</f>
        <v>8</v>
      </c>
      <c r="D11" s="403">
        <f>IF(ISNUMBER(Datos!M11),Datos!M11," - ")</f>
        <v>3438</v>
      </c>
      <c r="E11" s="404">
        <f t="shared" si="0"/>
        <v>429.75</v>
      </c>
      <c r="F11" s="403">
        <f>IF(ISNUMBER(Datos!N11),Datos!N11," - ")</f>
        <v>2268</v>
      </c>
      <c r="G11" s="404">
        <f t="shared" si="1"/>
        <v>283.5</v>
      </c>
      <c r="H11" s="403">
        <f>IF(ISNUMBER(Datos!O11),Datos!O11," - ")</f>
        <v>2567</v>
      </c>
      <c r="I11" s="404">
        <f t="shared" si="2"/>
        <v>320.875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67</v>
      </c>
      <c r="C13" s="851">
        <f>Datos!AR13</f>
        <v>67</v>
      </c>
      <c r="D13" s="849">
        <f>SUBTOTAL(9,D9:D12)</f>
        <v>30942</v>
      </c>
      <c r="E13" s="850">
        <f t="shared" si="0"/>
        <v>461.82089552238807</v>
      </c>
      <c r="F13" s="849">
        <f>SUBTOTAL(9,F9:F12)</f>
        <v>49210</v>
      </c>
      <c r="G13" s="850">
        <f t="shared" si="1"/>
        <v>734.47761194029852</v>
      </c>
      <c r="H13" s="849">
        <f>SUBTOTAL(9,H9:H12)</f>
        <v>41542</v>
      </c>
      <c r="I13" s="850">
        <f>IF(ISNUMBER(H13/B13),H13/B13," - ")</f>
        <v>620.02985074626861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33</v>
      </c>
      <c r="C15" s="428">
        <f>Datos!AQ15</f>
        <v>33</v>
      </c>
      <c r="D15" s="403">
        <f>IF(ISNUMBER(Datos!M15),Datos!M15," - ")</f>
        <v>21431</v>
      </c>
      <c r="E15" s="404">
        <f t="shared" ref="E15:E18" si="3">IF(ISNUMBER(D15/B15),D15/B15," - ")</f>
        <v>649.42424242424238</v>
      </c>
      <c r="F15" s="403">
        <f>IF(ISNUMBER(Datos!N15),Datos!N15," - ")</f>
        <v>63796</v>
      </c>
      <c r="G15" s="404">
        <f t="shared" ref="G15:G18" si="4">IF(ISNUMBER(F15/B15),F15/B15," - ")</f>
        <v>1933.2121212121212</v>
      </c>
      <c r="H15" s="403">
        <f>IF(ISNUMBER(Datos!O15),Datos!O15," - ")</f>
        <v>6134</v>
      </c>
      <c r="I15" s="404">
        <f t="shared" ref="I15:I17" si="5">IF(ISNUMBER(H15/B15),H15/B15," - ")</f>
        <v>185.87878787878788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5</v>
      </c>
      <c r="C17" s="428">
        <f>Datos!AQ17</f>
        <v>5</v>
      </c>
      <c r="D17" s="403">
        <f>IF(ISNUMBER(Datos!M17),Datos!M17," - ")</f>
        <v>177</v>
      </c>
      <c r="E17" s="404">
        <f>IF(ISNUMBER(D17/B17),D17/B17," - ")</f>
        <v>35.4</v>
      </c>
      <c r="F17" s="403">
        <f>IF(ISNUMBER(Datos!N17),Datos!N17," - ")</f>
        <v>4473</v>
      </c>
      <c r="G17" s="404">
        <f>IF(ISNUMBER(F17/B17),F17/B17," - ")</f>
        <v>894.6</v>
      </c>
      <c r="H17" s="403">
        <f>IF(ISNUMBER(Datos!O17),Datos!O17," - ")</f>
        <v>12</v>
      </c>
      <c r="I17" s="404">
        <f t="shared" si="5"/>
        <v>2.4</v>
      </c>
      <c r="BZ17" s="1186">
        <f>Datos!EZ17</f>
        <v>0</v>
      </c>
    </row>
    <row r="18" spans="1:78" ht="14.25" thickTop="1" thickBot="1">
      <c r="A18" s="848" t="str">
        <f>Datos!A18</f>
        <v>TOTAL</v>
      </c>
      <c r="B18" s="849">
        <f>Datos!AP18</f>
        <v>38</v>
      </c>
      <c r="C18" s="851">
        <f>Datos!AR18</f>
        <v>38</v>
      </c>
      <c r="D18" s="849">
        <f>SUBTOTAL(9,D15:D17)</f>
        <v>21608</v>
      </c>
      <c r="E18" s="850">
        <f t="shared" si="3"/>
        <v>568.63157894736844</v>
      </c>
      <c r="F18" s="849">
        <f>SUBTOTAL(9,F15:F17)</f>
        <v>68269</v>
      </c>
      <c r="G18" s="850">
        <f t="shared" si="4"/>
        <v>1796.5526315789473</v>
      </c>
      <c r="H18" s="849">
        <f>SUBTOTAL(9,H15:H17)</f>
        <v>6146</v>
      </c>
      <c r="I18" s="850">
        <f>IF(ISNUMBER(H18/B18),H18/B18," - ")</f>
        <v>161.73684210526315</v>
      </c>
      <c r="BZ18" s="1186"/>
    </row>
    <row r="19" spans="1:78" ht="14.25" thickTop="1" thickBot="1">
      <c r="A19" s="793" t="str">
        <f>Datos!A19</f>
        <v>TOTAL JURISDICCIONES</v>
      </c>
      <c r="B19" s="794">
        <f>Datos!AP19</f>
        <v>100</v>
      </c>
      <c r="C19" s="794">
        <f>Datos!AR19</f>
        <v>100</v>
      </c>
      <c r="D19" s="794">
        <f>SUBTOTAL(9,D8:D18)</f>
        <v>52550</v>
      </c>
      <c r="E19" s="795">
        <f>IF(ISNUMBER(D19/B19),D19/B19," - ")</f>
        <v>525.5</v>
      </c>
      <c r="F19" s="794">
        <f>SUBTOTAL(9,F8:F18)</f>
        <v>117479</v>
      </c>
      <c r="G19" s="795">
        <f>IF(ISNUMBER(F19/B19),F19/B19," - ")</f>
        <v>1174.79</v>
      </c>
      <c r="H19" s="794">
        <f>SUBTOTAL(9,H8:H18)</f>
        <v>47688</v>
      </c>
      <c r="I19" s="795">
        <f>IF(ISNUMBER(H19/B19),H19/B19," - ")</f>
        <v>476.88</v>
      </c>
    </row>
    <row r="22" spans="1:78">
      <c r="A22" s="391" t="str">
        <f>Criterios!A4</f>
        <v>Fecha Informe: 28 feb. 2025</v>
      </c>
    </row>
    <row r="27" spans="1:78">
      <c r="A27" s="414"/>
    </row>
  </sheetData>
  <sheetProtection algorithmName="SHA-512" hashValue="3M6Hh6sdsLy9A3Zlc2K/GB+Bzrm2zIvcetvDb3IlKN+GF6BEWmPmS2eBfTP/jDnxXFBb1nSLxdTsb31JjA7Edg==" saltValue="zh7I1ks1iAurzEAcSPXm1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BARCELONA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20098</v>
      </c>
      <c r="C9" s="434">
        <f>IF(ISNUMBER(Datos!Q9),Datos!Q9," - ")</f>
        <v>25584</v>
      </c>
      <c r="D9" s="408">
        <f>IF(ISNUMBER(Datos!R9),Datos!R9," - ")</f>
        <v>73644</v>
      </c>
    </row>
    <row r="10" spans="1:4">
      <c r="A10" s="402" t="str">
        <f>Datos!A10</f>
        <v>Jdos. Violencia contra la mujer</v>
      </c>
      <c r="B10" s="433">
        <f>IF(ISNUMBER(Datos!P10),Datos!P10," - ")</f>
        <v>219</v>
      </c>
      <c r="C10" s="434">
        <f>IF(ISNUMBER(Datos!Q10),Datos!Q10," - ")</f>
        <v>213</v>
      </c>
      <c r="D10" s="408">
        <f>IF(ISNUMBER(Datos!R10),Datos!R10," - ")</f>
        <v>592</v>
      </c>
    </row>
    <row r="11" spans="1:4">
      <c r="A11" s="402" t="str">
        <f>Datos!A11</f>
        <v xml:space="preserve">Jdos. Familia                                   </v>
      </c>
      <c r="B11" s="433">
        <f>IF(ISNUMBER(Datos!P11),Datos!P11," - ")</f>
        <v>919</v>
      </c>
      <c r="C11" s="434">
        <f>IF(ISNUMBER(Datos!Q11),Datos!Q11," - ")</f>
        <v>1751</v>
      </c>
      <c r="D11" s="408">
        <f>IF(ISNUMBER(Datos!R11),Datos!R11," - ")</f>
        <v>2918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21236</v>
      </c>
      <c r="C13" s="853">
        <f>SUBTOTAL(9,C9:C12)</f>
        <v>27548</v>
      </c>
      <c r="D13" s="851">
        <f>SUBTOTAL(9,D9:D12)</f>
        <v>77154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10322</v>
      </c>
      <c r="C15" s="434">
        <f>IF(ISNUMBER(Datos!Q15),Datos!Q15," - ")</f>
        <v>10935</v>
      </c>
      <c r="D15" s="408">
        <f>IF(ISNUMBER(Datos!R15),Datos!R15," - ")</f>
        <v>4194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25</v>
      </c>
      <c r="C17" s="434">
        <f>IF(ISNUMBER(Datos!Q17),Datos!Q17," - ")</f>
        <v>32</v>
      </c>
      <c r="D17" s="408">
        <f>IF(ISNUMBER(Datos!R17),Datos!R17," - ")</f>
        <v>12</v>
      </c>
    </row>
    <row r="18" spans="1:4" ht="14.25" thickTop="1" thickBot="1">
      <c r="A18" s="848" t="str">
        <f>Datos!A18</f>
        <v>TOTAL</v>
      </c>
      <c r="B18" s="849">
        <f>SUBTOTAL(9,B15:B17)</f>
        <v>10347</v>
      </c>
      <c r="C18" s="853">
        <f>SUBTOTAL(9,C15:C17)</f>
        <v>10967</v>
      </c>
      <c r="D18" s="851">
        <f>SUBTOTAL(9,D15:D17)</f>
        <v>4206</v>
      </c>
    </row>
    <row r="19" spans="1:4" ht="16.5" customHeight="1" thickTop="1" thickBot="1">
      <c r="A19" s="793" t="str">
        <f>Datos!A19</f>
        <v>TOTAL JURISDICCIONES</v>
      </c>
      <c r="B19" s="798">
        <f>SUBTOTAL(9,B8:B18)</f>
        <v>31583</v>
      </c>
      <c r="C19" s="799">
        <f>SUBTOTAL(9,C8:C18)</f>
        <v>38515</v>
      </c>
      <c r="D19" s="800">
        <f>SUBTOTAL(9,D8:D18)</f>
        <v>81360</v>
      </c>
    </row>
    <row r="20" spans="1:4" ht="7.5" customHeight="1"/>
    <row r="21" spans="1:4" ht="6" customHeight="1"/>
    <row r="22" spans="1:4">
      <c r="A22" s="391" t="str">
        <f>Criterios!A4</f>
        <v>Fecha Informe: 28 feb. 2025</v>
      </c>
    </row>
    <row r="27" spans="1:4">
      <c r="A27" s="414"/>
    </row>
  </sheetData>
  <sheetProtection algorithmName="SHA-512" hashValue="BsfIlrpIhg7cxTV7u6dlrBOrMxysfMZXv5krZwT4WSQb40WkZ8DBo4bo7XCPo9Sg2PjXMwBBrBmfMZ2TCIF2nA==" saltValue="VPneq/sk7VzGKTELDBa6w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BARCELONA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4.6922261067682762E-2</v>
      </c>
      <c r="C9" s="456">
        <f>IF(ISNUMBER(
   IF(J_V="SI",(Datos!J9-Datos!T9)/Datos!T9,(Datos!J9+Datos!Z9-(Datos!T9+Datos!AH9))/(Datos!T9+Datos!AH9))
     ),IF(J_V="SI",(Datos!J9-Datos!T9)/Datos!T9,(Datos!J9+Datos!Z9-(Datos!T9+Datos!AH9))/(Datos!T9+Datos!AH9))," - ")</f>
        <v>5.463294287957101E-2</v>
      </c>
      <c r="D9" s="456">
        <f>IF(ISNUMBER(
   IF(J_V="SI",(Datos!K9-Datos!U9)/Datos!U9,(Datos!K9+Datos!AA9-(Datos!U9+Datos!AI9))/(Datos!U9+Datos!AI9))
     ),IF(J_V="SI",(Datos!K9-Datos!U9)/Datos!U9,(Datos!K9+Datos!AA9-(Datos!U9+Datos!AI9))/(Datos!U9+Datos!AI9))," - ")</f>
        <v>6.5312911932709813E-2</v>
      </c>
      <c r="E9" s="456">
        <f>IF(ISNUMBER(
   IF(J_V="SI",(Datos!L9-Datos!V9)/Datos!V9,(Datos!L9+Datos!AB9-(Datos!V9+Datos!AJ9))/(Datos!V9+Datos!AJ9))
     ),IF(J_V="SI",(Datos!L9-Datos!V9)/Datos!V9,(Datos!L9+Datos!AB9-(Datos!V9+Datos!AJ9))/(Datos!V9+Datos!AJ9))," - ")</f>
        <v>3.9742192491262353E-2</v>
      </c>
      <c r="F9" s="456">
        <f>IF(ISNUMBER((Datos!M9-Datos!W9)/Datos!W9),(Datos!M9-Datos!W9)/Datos!W9," - ")</f>
        <v>0.11938208032955716</v>
      </c>
      <c r="G9" s="457">
        <f>IF(ISNUMBER((Datos!N9-Datos!X9)/Datos!X9),(Datos!N9-Datos!X9)/Datos!X9," - ")</f>
        <v>0.13181044957472662</v>
      </c>
      <c r="H9" s="455">
        <f>IF(ISNUMBER(((NºAsuntos!G9/NºAsuntos!E9)-Datos!BD9)/Datos!BD9),((NºAsuntos!G9/NºAsuntos!E9)-Datos!BD9)/Datos!BD9," - ")</f>
        <v>1.0126716717171981E-2</v>
      </c>
      <c r="I9" s="456">
        <f>IF(ISNUMBER(((NºAsuntos!I9/NºAsuntos!G9)-Datos!BE9)/Datos!BE9),((NºAsuntos!I9/NºAsuntos!G9)-Datos!BE9)/Datos!BE9," - ")</f>
        <v>-2.4003012781527774E-2</v>
      </c>
      <c r="J9" s="461">
        <f>IF(ISNUMBER((('Resol  Asuntos'!D9/NºAsuntos!G9)-Datos!BF9)/Datos!BF9),(('Resol  Asuntos'!D9/NºAsuntos!G9)-Datos!BF9)/Datos!BF9," - ")</f>
        <v>-0.38014435822989495</v>
      </c>
      <c r="K9" s="462">
        <f>IF(ISNUMBER((((NºAsuntos!C9+NºAsuntos!E9)/NºAsuntos!G9)-Datos!BG9)/Datos!BG9),(((NºAsuntos!C9+NºAsuntos!E9)/NºAsuntos!G9)-Datos!BG9)/Datos!BG9," - ")</f>
        <v>-1.2498353011082092E-2</v>
      </c>
    </row>
    <row r="10" spans="1:11">
      <c r="A10" s="402" t="str">
        <f>Datos!A10</f>
        <v>Jdos. Violencia contra la mujer</v>
      </c>
      <c r="B10" s="455">
        <f>IF(ISNUMBER((Datos!I10-Datos!S10)/Datos!S10),(Datos!I10-Datos!S10)/Datos!S10," - ")</f>
        <v>0.1927437641723356</v>
      </c>
      <c r="C10" s="456">
        <f>IF(ISNUMBER((Datos!J10-Datos!T10)/Datos!T10),(Datos!J10-Datos!T10)/Datos!T10," - ")</f>
        <v>-1.5837104072398189E-2</v>
      </c>
      <c r="D10" s="456">
        <f>IF(ISNUMBER((Datos!K10-Datos!U10)/Datos!U10),(Datos!K10-Datos!U10)/Datos!U10," - ")</f>
        <v>0.14643304130162704</v>
      </c>
      <c r="E10" s="456">
        <f>IF(ISNUMBER((Datos!L10-Datos!V10)/Datos!V10),(Datos!L10-Datos!V10)/Datos!V10," - ")</f>
        <v>-8.7452471482889732E-2</v>
      </c>
      <c r="F10" s="456">
        <f>IF(ISNUMBER((Datos!M10-Datos!W10)/Datos!W10),(Datos!M10-Datos!W10)/Datos!W10," - ")</f>
        <v>3.7617554858934171E-2</v>
      </c>
      <c r="G10" s="457">
        <f>IF(ISNUMBER((Datos!N10-Datos!X10)/Datos!X10),(Datos!N10-Datos!X10)/Datos!X10," - ")</f>
        <v>9.5238095238095233E-2</v>
      </c>
      <c r="H10" s="455">
        <f>IF(ISNUMBER(((NºAsuntos!G10/NºAsuntos!E10)-Datos!BD10)/Datos!BD10),((NºAsuntos!G10/NºAsuntos!E10)-Datos!BD10)/Datos!BD10," - ")</f>
        <v>0.16488138909268765</v>
      </c>
      <c r="I10" s="456">
        <f>IF(ISNUMBER(((NºAsuntos!I10/NºAsuntos!G10)-Datos!BE10)/Datos!BE10),((NºAsuntos!I10/NºAsuntos!G10)-Datos!BE10)/Datos!BE10," - ")</f>
        <v>-0.20401148986335035</v>
      </c>
      <c r="J10" s="461">
        <f>IF(ISNUMBER((('Resol  Asuntos'!D10/NºAsuntos!G10)-Datos!BF10)/Datos!BF10),(('Resol  Asuntos'!D10/NºAsuntos!G10)-Datos!BF10)/Datos!BF10," - ")</f>
        <v>-9.4916565139423204E-2</v>
      </c>
      <c r="K10" s="462">
        <f>IF(ISNUMBER((((NºAsuntos!C10+NºAsuntos!E10)/NºAsuntos!G10)-Datos!BG10)/Datos!BG10),(((NºAsuntos!C10+NºAsuntos!E10)/NºAsuntos!G10)-Datos!BG10)/Datos!BG10," - ")</f>
        <v>-8.0988712202356442E-2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7.6086956521739135E-2</v>
      </c>
      <c r="C11" s="456">
        <f>IF(ISNUMBER(
   IF(J_V="SI",(Datos!J11-Datos!T11)/Datos!T11,(Datos!J11+Datos!Z11-(Datos!T11+Datos!AH11))/(Datos!T11+Datos!AH11))
     ),IF(J_V="SI",(Datos!J11-Datos!T11)/Datos!T11,(Datos!J11+Datos!Z11-(Datos!T11+Datos!AH11))/(Datos!T11+Datos!AH11))," - ")</f>
        <v>4.4459459459459456E-2</v>
      </c>
      <c r="D11" s="456">
        <f>IF(ISNUMBER(
   IF(J_V="SI",(Datos!K11-Datos!U11)/Datos!U11,(Datos!K11+Datos!AA11-(Datos!U11+Datos!AI11))/(Datos!U11+Datos!AI11))
     ),IF(J_V="SI",(Datos!K11-Datos!U11)/Datos!U11,(Datos!K11+Datos!AA11-(Datos!U11+Datos!AI11))/(Datos!U11+Datos!AI11))," - ")</f>
        <v>5.3250439248547103E-2</v>
      </c>
      <c r="E11" s="456">
        <f>IF(ISNUMBER(
   IF(J_V="SI",(Datos!L11-Datos!V11)/Datos!V11,(Datos!L11+Datos!AB11-(Datos!V11+Datos!AJ11))/(Datos!V11+Datos!AJ11))
     ),IF(J_V="SI",(Datos!L11-Datos!V11)/Datos!V11,(Datos!L11+Datos!AB11-(Datos!V11+Datos!AJ11))/(Datos!V11+Datos!AJ11))," - ")</f>
        <v>-2.3569023569023568E-3</v>
      </c>
      <c r="F11" s="456">
        <f>IF(ISNUMBER((Datos!M11-Datos!W11)/Datos!W11),(Datos!M11-Datos!W11)/Datos!W11," - ")</f>
        <v>5.2986217457886675E-2</v>
      </c>
      <c r="G11" s="457">
        <f>IF(ISNUMBER((Datos!N11-Datos!X11)/Datos!X11),(Datos!N11-Datos!X11)/Datos!X11," - ")</f>
        <v>0.15361139369277721</v>
      </c>
      <c r="H11" s="455">
        <f>IF(ISNUMBER(((NºAsuntos!G11/NºAsuntos!E11)-Datos!BD11)/Datos!BD11),((NºAsuntos!G11/NºAsuntos!E11)-Datos!BD11)/Datos!BD11," - ")</f>
        <v>8.416774542534573E-3</v>
      </c>
      <c r="I11" s="456">
        <f>IF(ISNUMBER(((NºAsuntos!I11/NºAsuntos!G11)-Datos!BE11)/Datos!BE11),((NºAsuntos!I11/NºAsuntos!G11)-Datos!BE11)/Datos!BE11," - ")</f>
        <v>-5.2795934882422728E-2</v>
      </c>
      <c r="J11" s="461">
        <f>IF(ISNUMBER((('Resol  Asuntos'!D11/NºAsuntos!G11)-Datos!BF11)/Datos!BF11),(('Resol  Asuntos'!D11/NºAsuntos!G11)-Datos!BF11)/Datos!BF11," - ")</f>
        <v>0.66031583499760249</v>
      </c>
      <c r="K11" s="462">
        <f>IF(ISNUMBER((((NºAsuntos!C11+NºAsuntos!E11)/NºAsuntos!G11)-Datos!BG11)/Datos!BG11),(((NºAsuntos!C11+NºAsuntos!E11)/NºAsuntos!G11)-Datos!BG11)/Datos!BG11," - ")</f>
        <v>-1.8918401432324586E-4</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4.9598078166866857E-2</v>
      </c>
      <c r="C13" s="855">
        <f>IF(ISNUMBER(
   IF(J_V="SI",(Datos!J13-Datos!T13)/Datos!T13,(Datos!J13+Datos!Z13-(Datos!T13+Datos!AH13))/(Datos!T13+Datos!AH13))
     ),IF(J_V="SI",(Datos!J13-Datos!T13)/Datos!T13,(Datos!J13+Datos!Z13-(Datos!T13+Datos!AH13))/(Datos!T13+Datos!AH13))," - ")</f>
        <v>5.3339600470035255E-2</v>
      </c>
      <c r="D13" s="855">
        <f>IF(ISNUMBER(
   IF(J_V="SI",(Datos!K13-Datos!U13)/Datos!U13,(Datos!K13+Datos!AA13-(Datos!U13+Datos!AI13))/(Datos!U13+Datos!AI13))
     ),IF(J_V="SI",(Datos!K13-Datos!U13)/Datos!U13,(Datos!K13+Datos!AA13-(Datos!U13+Datos!AI13))/(Datos!U13+Datos!AI13))," - ")</f>
        <v>6.5077468588607107E-2</v>
      </c>
      <c r="E13" s="855">
        <f>IF(ISNUMBER(
   IF(J_V="SI",(Datos!L13-Datos!V13)/Datos!V13,(Datos!L13+Datos!AB13-(Datos!V13+Datos!AJ13))/(Datos!V13+Datos!AJ13))
     ),IF(J_V="SI",(Datos!L13-Datos!V13)/Datos!V13,(Datos!L13+Datos!AB13-(Datos!V13+Datos!AJ13))/(Datos!V13+Datos!AJ13))," - ")</f>
        <v>3.6357865782699159E-2</v>
      </c>
      <c r="F13" s="856">
        <f>IF(ISNUMBER((Datos!M13-Datos!W13)/Datos!W13),(Datos!M13-Datos!W13)/Datos!W13," - ")</f>
        <v>0.1106644172439786</v>
      </c>
      <c r="G13" s="857">
        <f>IF(ISNUMBER((Datos!N13-Datos!X13)/Datos!X13),(Datos!N13-Datos!X13)/Datos!X13," - ")</f>
        <v>0.13251403847924145</v>
      </c>
      <c r="H13" s="857">
        <f>IF(ISNUMBER(((NºAsuntos!G13/NºAsuntos!E13)-Datos!BD13)/Datos!BD13),((NºAsuntos!G13/NºAsuntos!E13)-Datos!BD13)/Datos!BD13," - ")</f>
        <v>1.114347938056637E-2</v>
      </c>
      <c r="I13" s="857">
        <f>IF(ISNUMBER(((NºAsuntos!I13/NºAsuntos!G13)-Datos!BE13)/Datos!BE13),((NºAsuntos!I13/NºAsuntos!G13)-Datos!BE13)/Datos!BE13," - ")</f>
        <v>-2.6964801765984096E-2</v>
      </c>
      <c r="J13" s="857">
        <f>IF(ISNUMBER((('Resol  Asuntos'!D13/NºAsuntos!G13)-Datos!BF13)/Datos!BF13),(('Resol  Asuntos'!D13/NºAsuntos!G13)-Datos!BF13)/Datos!BF13," - ")</f>
        <v>-0.33115211433128772</v>
      </c>
      <c r="K13" s="857">
        <f>IF(ISNUMBER((((NºAsuntos!C13+NºAsuntos!E13)/NºAsuntos!G13)-Datos!BG13)/Datos!BG13),(((NºAsuntos!C13+NºAsuntos!E13)/NºAsuntos!G13)-Datos!BG13)/Datos!BG13," - ")</f>
        <v>-1.2205175567932817E-2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0.26278409090909088</v>
      </c>
      <c r="C15" s="456">
        <f>IF(ISNUMBER(
   IF(D_I="SI",(Datos!J15-Datos!T15)/Datos!T15,(Datos!J15+Datos!AD15-(Datos!T15+Datos!AL15))/(Datos!T15+Datos!AL15))
     ),IF(D_I="SI",(Datos!J15-Datos!T15)/Datos!T15,(Datos!J15+Datos!AD15-(Datos!T15+Datos!AL15))/(Datos!T15+Datos!AL15))," - ")</f>
        <v>9.7699146673814949E-2</v>
      </c>
      <c r="D15" s="456">
        <f>IF(ISNUMBER(
   IF(D_I="SI",(Datos!K15-Datos!U15)/Datos!U15,(Datos!K15+Datos!AE15-(Datos!U15+Datos!AM15))/(Datos!U15+Datos!AM15))
     ),IF(D_I="SI",(Datos!K15-Datos!U15)/Datos!U15,(Datos!K15+Datos!AE15-(Datos!U15+Datos!AM15))/(Datos!U15+Datos!AM15))," - ")</f>
        <v>0.11071723225051905</v>
      </c>
      <c r="E15" s="456">
        <f>IF(ISNUMBER(
   IF(D_I="SI",(Datos!L15-Datos!V15)/Datos!V15,(Datos!L15+Datos!AF15-(Datos!V15+Datos!AN15))/(Datos!V15+Datos!AN15))
     ),IF(D_I="SI",(Datos!L15-Datos!V15)/Datos!V15,(Datos!L15+Datos!AF15-(Datos!V15+Datos!AN15))/(Datos!V15+Datos!AN15))," - ")</f>
        <v>0.17954898494831004</v>
      </c>
      <c r="F15" s="456">
        <f>IF(ISNUMBER((Datos!M15-Datos!W15)/Datos!W15),(Datos!M15-Datos!W15)/Datos!W15," - ")</f>
        <v>3.6616039469865531E-2</v>
      </c>
      <c r="G15" s="457">
        <f>IF(ISNUMBER((Datos!N15-Datos!X15)/Datos!X15),(Datos!N15-Datos!X15)/Datos!X15," - ")</f>
        <v>0.11713099970231321</v>
      </c>
      <c r="H15" s="455">
        <f>IF(ISNUMBER(((NºAsuntos!G15/NºAsuntos!E15)-Datos!BD15)/Datos!BD15),((NºAsuntos!G15/NºAsuntos!E15)-Datos!BD15)/Datos!BD15," - ")</f>
        <v>1.1859429440344068E-2</v>
      </c>
      <c r="I15" s="456">
        <f>IF(ISNUMBER(((NºAsuntos!I15/NºAsuntos!G15)-Datos!BE15)/Datos!BE15),((NºAsuntos!I15/NºAsuntos!G15)-Datos!BE15)/Datos!BE15," - ")</f>
        <v>6.197054542705277E-2</v>
      </c>
      <c r="J15" s="461">
        <f>IF(ISNUMBER((('Resol  Asuntos'!D15/NºAsuntos!G15)-Datos!BF15)/Datos!BF15),(('Resol  Asuntos'!D15/NºAsuntos!G15)-Datos!BF15)/Datos!BF15," - ")</f>
        <v>-6.6714723269855808E-2</v>
      </c>
      <c r="K15" s="462">
        <f>IF(ISNUMBER((((NºAsuntos!C15+NºAsuntos!E15)/NºAsuntos!G15)-Datos!BG15)/Datos!BG15),(((NºAsuntos!C15+NºAsuntos!E15)/NºAsuntos!G15)-Datos!BG15)/Datos!BG15," - ")</f>
        <v>5.6225083020661386E-3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0.25382475660639775</v>
      </c>
      <c r="C17" s="456">
        <f>IF(ISNUMBER(
   IF(D_I="SI",(Datos!J17-Datos!T17)/Datos!T17,(Datos!J17+Datos!AD17-(Datos!T17+Datos!AL17))/(Datos!T17+Datos!AL17))
     ),IF(D_I="SI",(Datos!J17-Datos!T17)/Datos!T17,(Datos!J17+Datos!AD17-(Datos!T17+Datos!AL17))/(Datos!T17+Datos!AL17))," - ")</f>
        <v>-1.3204340436658387E-2</v>
      </c>
      <c r="D17" s="456">
        <f>IF(ISNUMBER(
   IF(D_I="SI",(Datos!K17-Datos!U17)/Datos!U17,(Datos!K17+Datos!AE17-(Datos!U17+Datos!AM17))/(Datos!U17+Datos!AM17))
     ),IF(D_I="SI",(Datos!K17-Datos!U17)/Datos!U17,(Datos!K17+Datos!AE17-(Datos!U17+Datos!AM17))/(Datos!U17+Datos!AM17))," - ")</f>
        <v>5.9032038173142468E-2</v>
      </c>
      <c r="E17" s="456">
        <f>IF(ISNUMBER(
   IF(D_I="SI",(Datos!L17-Datos!V17)/Datos!V17,(Datos!L17+Datos!AF17-(Datos!V17+Datos!AN17))/(Datos!V17+Datos!AN17))
     ),IF(D_I="SI",(Datos!L17-Datos!V17)/Datos!V17,(Datos!L17+Datos!AF17-(Datos!V17+Datos!AN17))/(Datos!V17+Datos!AN17))," - ")</f>
        <v>-6.156405990016639E-2</v>
      </c>
      <c r="F17" s="456">
        <f>IF(ISNUMBER((Datos!M17-Datos!W17)/Datos!W17),(Datos!M17-Datos!W17)/Datos!W17," - ")</f>
        <v>0.36153846153846153</v>
      </c>
      <c r="G17" s="457">
        <f>IF(ISNUMBER((Datos!N17-Datos!X17)/Datos!X17),(Datos!N17-Datos!X17)/Datos!X17," - ")</f>
        <v>-8.4238528042562631E-3</v>
      </c>
      <c r="H17" s="455">
        <f>IF(ISNUMBER(((NºAsuntos!G17/NºAsuntos!E17)-Datos!BD17)/Datos!BD17),((NºAsuntos!G17/NºAsuntos!E17)-Datos!BD17)/Datos!BD17," - ")</f>
        <v>7.3202975620875271E-2</v>
      </c>
      <c r="I17" s="456">
        <f>IF(ISNUMBER(((NºAsuntos!I17/NºAsuntos!G17)-Datos!BE17)/Datos!BE17),((NºAsuntos!I17/NºAsuntos!G17)-Datos!BE17)/Datos!BE17," - ")</f>
        <v>-0.11387389023786314</v>
      </c>
      <c r="J17" s="461">
        <f>IF(ISNUMBER((('Resol  Asuntos'!D17/NºAsuntos!G17)-Datos!BF17)/Datos!BF17),(('Resol  Asuntos'!D17/NºAsuntos!G17)-Datos!BF17)/Datos!BF17," - ")</f>
        <v>0.28564426047690705</v>
      </c>
      <c r="K17" s="462">
        <f>IF(ISNUMBER((((NºAsuntos!C17+NºAsuntos!E17)/NºAsuntos!G17)-Datos!BG17)/Datos!BG17),(((NºAsuntos!C17+NºAsuntos!E17)/NºAsuntos!G17)-Datos!BG17)/Datos!BG17," - ")</f>
        <v>-2.8308440652137463E-2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0.26198989027246949</v>
      </c>
      <c r="C18" s="855">
        <f>IF(ISNUMBER(
   IF(Criterios!B14="SI",(Datos!J18-Datos!T18)/Datos!T18,(Datos!J18+Datos!AD18-(Datos!T18+Datos!AL18))/(Datos!T18+Datos!AL18))
     ),IF(Criterios!B14="SI",(Datos!J18-Datos!T18)/Datos!T18,(Datos!J18+Datos!AD18-(Datos!T18+Datos!AL18))/(Datos!T18+Datos!AL18))," - ")</f>
        <v>9.0604195242715194E-2</v>
      </c>
      <c r="D18" s="855">
        <f>IF(ISNUMBER(
   IF(Criterios!B14="SI",(Datos!K18-Datos!U18)/Datos!U18,(Datos!K18+Datos!AE18-(Datos!U18+Datos!AM18))/(Datos!U18+Datos!AM18))
     ),IF(Criterios!B14="SI",(Datos!K18-Datos!U18)/Datos!U18,(Datos!K18+Datos!AE18-(Datos!U18+Datos!AM18))/(Datos!U18+Datos!AM18))," - ")</f>
        <v>0.1074944318819389</v>
      </c>
      <c r="E18" s="855">
        <f>IF(ISNUMBER(
   IF(Criterios!B14="SI",(Datos!L18-Datos!V18)/Datos!V18,(Datos!L18+Datos!AF18-(Datos!V18+Datos!AN18))/(Datos!V18+Datos!AN18))
     ),IF(Criterios!B14="SI",(Datos!L18-Datos!V18)/Datos!V18,(Datos!L18+Datos!AF18-(Datos!V18+Datos!AN18))/(Datos!V18+Datos!AN18))," - ")</f>
        <v>0.15831379445095742</v>
      </c>
      <c r="F18" s="856">
        <f>IF(ISNUMBER((Datos!M18-Datos!W18)/Datos!W18),(Datos!M18-Datos!W18)/Datos!W18," - ")</f>
        <v>3.8646414151124783E-2</v>
      </c>
      <c r="G18" s="857">
        <f>IF(ISNUMBER((Datos!N18-Datos!X18)/Datos!X18),(Datos!N18-Datos!X18)/Datos!X18," - ")</f>
        <v>0.10793923853419456</v>
      </c>
      <c r="H18" s="857">
        <f>IF(ISNUMBER(((NºAsuntos!G18/NºAsuntos!E18)-Datos!BD18)/Datos!BD18),((NºAsuntos!G18/NºAsuntos!E18)-Datos!BD18)/Datos!BD18," - ")</f>
        <v>1.5487045357885051E-2</v>
      </c>
      <c r="I18" s="857">
        <f>IF(ISNUMBER(((NºAsuntos!I18/NºAsuntos!G18)-Datos!BE18)/Datos!BE18),((NºAsuntos!I18/NºAsuntos!G18)-Datos!BE18)/Datos!BE18," - ")</f>
        <v>4.5886788326928475E-2</v>
      </c>
      <c r="J18" s="857">
        <f>IF(ISNUMBER((('Resol  Asuntos'!D18/NºAsuntos!G18)-Datos!BF18)/Datos!BF18),(('Resol  Asuntos'!D18/NºAsuntos!G18)-Datos!BF18)/Datos!BF18," - ")</f>
        <v>-6.2165565576544048E-2</v>
      </c>
      <c r="K18" s="857">
        <f>IF(ISNUMBER((((NºAsuntos!C18+NºAsuntos!E18)/NºAsuntos!G18)-Datos!BG18)/Datos!BG18),(((NºAsuntos!C18+NºAsuntos!E18)/NºAsuntos!G18)-Datos!BG18)/Datos!BG18," - ")</f>
        <v>3.2368255450277183E-3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9.8582538351081217E-2</v>
      </c>
      <c r="C19" s="802">
        <f>IF(ISNUMBER(
   IF(J_V="SI",(Datos!J19-Datos!T19)/Datos!T19,(Datos!J19+Datos!Z19-(Datos!T19+Datos!AH19))/(Datos!T19+Datos!AH19))
     ),IF(J_V="SI",(Datos!J19-Datos!T19)/Datos!T19,(Datos!J19+Datos!Z19-(Datos!T19+Datos!AH19))/(Datos!T19+Datos!AH19))," - ")</f>
        <v>7.3059542619910683E-2</v>
      </c>
      <c r="D19" s="802">
        <f>IF(ISNUMBER(
   IF(J_V="SI",(Datos!K19-Datos!U19)/Datos!U19,(Datos!K19+Datos!AA19-(Datos!U19+Datos!AI19))/(Datos!U19+Datos!AI19))
     ),IF(J_V="SI",(Datos!K19-Datos!U19)/Datos!U19,(Datos!K19+Datos!AA19-(Datos!U19+Datos!AI19))/(Datos!U19+Datos!AI19))," - ")</f>
        <v>8.7612569890433478E-2</v>
      </c>
      <c r="E19" s="802">
        <f>IF(ISNUMBER(
   IF(J_V="SI",(Datos!L19-Datos!V19)/Datos!V19,(Datos!L19+Datos!AB19-(Datos!V19+Datos!AJ19))/(Datos!V19+Datos!AJ19))
     ),IF(J_V="SI",(Datos!L19-Datos!V19)/Datos!V19,(Datos!L19+Datos!AB19-(Datos!V19+Datos!AJ19))/(Datos!V19+Datos!AJ19))," - ")</f>
        <v>6.8704169149845826E-2</v>
      </c>
      <c r="F19" s="803">
        <f>IF(ISNUMBER((Datos!M19-Datos!W19)/Datos!W19),(Datos!M19-Datos!W19)/Datos!W19," - ")</f>
        <v>7.9875881059531889E-2</v>
      </c>
      <c r="G19" s="804">
        <f>IF(ISNUMBER((Datos!N19-Datos!X19)/Datos!X19),(Datos!N19-Datos!X19)/Datos!X19," - ")</f>
        <v>0.11810221756923955</v>
      </c>
      <c r="H19" s="805">
        <f>IF(ISNUMBER((Tasas!B19-Datos!BD19)/Datos!BD19),(Tasas!B19-Datos!BD19)/Datos!BD19," - ")</f>
        <v>1.35621805617525E-2</v>
      </c>
      <c r="I19" s="806">
        <f>IF(ISNUMBER((Tasas!C19-Datos!BE19)/Datos!BE19),(Tasas!C19-Datos!BE19)/Datos!BE19," - ")</f>
        <v>-1.7385235573815092E-2</v>
      </c>
      <c r="J19" s="807">
        <f>IF(ISNUMBER((Tasas!D19-Datos!BF19)/Datos!BF19),(Tasas!D19-Datos!BF19)/Datos!BF19," - ")</f>
        <v>-0.24785819079180677</v>
      </c>
      <c r="K19" s="807">
        <f>IF(ISNUMBER((Tasas!E19-Datos!BG19)/Datos!BG19),(Tasas!E19-Datos!BG19)/Datos!BG19," - ")</f>
        <v>-7.8095596613566975E-3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IHiogv4d4gg87iFBa1uQmsHUgZ43ALmfHyLo7FLMVS27CDyWSVYxxNGi1o0KiAif6SHNPAYtsvv4uC05qiAwA==" saltValue="sieFbjMd9MHXAAowAbqK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BARCELONA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0.98433059449009186</v>
      </c>
      <c r="C9" s="443">
        <f>IF(ISNUMBER(NºAsuntos!I9/NºAsuntos!G9),NºAsuntos!I9/NºAsuntos!G9," - ")</f>
        <v>0.5433913718096024</v>
      </c>
      <c r="D9" s="444">
        <f>IF(ISNUMBER('Resol  Asuntos'!D9/NºAsuntos!G9),'Resol  Asuntos'!D9/NºAsuntos!G9," - ")</f>
        <v>0.26684932583055909</v>
      </c>
      <c r="E9" s="445">
        <f>IF(ISNUMBER((NºAsuntos!C9+NºAsuntos!E9)/NºAsuntos!G9),(NºAsuntos!C9+NºAsuntos!E9)/NºAsuntos!G9," - ")</f>
        <v>1.5393748342810005</v>
      </c>
      <c r="G9" s="463"/>
    </row>
    <row r="10" spans="1:7">
      <c r="A10" s="402" t="str">
        <f>Datos!A10</f>
        <v>Jdos. Violencia contra la mujer</v>
      </c>
      <c r="B10" s="442">
        <f>IF(ISNUMBER(NºAsuntos!G10/NºAsuntos!E10),NºAsuntos!G10/NºAsuntos!E10," - ")</f>
        <v>1.0528735632183908</v>
      </c>
      <c r="C10" s="443">
        <f>IF(ISNUMBER(NºAsuntos!I10/NºAsuntos!G10),NºAsuntos!I10/NºAsuntos!G10," - ")</f>
        <v>0.5240174672489083</v>
      </c>
      <c r="D10" s="444">
        <f>IF(ISNUMBER('Resol  Asuntos'!D10/NºAsuntos!G10),'Resol  Asuntos'!D10/NºAsuntos!G10," - ")</f>
        <v>0.361353711790393</v>
      </c>
      <c r="E10" s="445">
        <f>IF(ISNUMBER((NºAsuntos!C10+NºAsuntos!E10)/NºAsuntos!G10),(NºAsuntos!C10+NºAsuntos!E10)/NºAsuntos!G10," - ")</f>
        <v>1.5240174672489082</v>
      </c>
      <c r="G10" s="463"/>
    </row>
    <row r="11" spans="1:7">
      <c r="A11" s="402" t="str">
        <f>Datos!A11</f>
        <v xml:space="preserve">Jdos. Familia                                   </v>
      </c>
      <c r="B11" s="442">
        <f>IF(ISNUMBER(NºAsuntos!G11/NºAsuntos!E11),NºAsuntos!G11/NºAsuntos!E11," - ")</f>
        <v>1.0082805020054342</v>
      </c>
      <c r="C11" s="443">
        <f>IF(ISNUMBER(NºAsuntos!I11/NºAsuntos!G11),NºAsuntos!I11/NºAsuntos!G11," - ")</f>
        <v>0.38021301167714616</v>
      </c>
      <c r="D11" s="444">
        <f>IF(ISNUMBER('Resol  Asuntos'!D11/NºAsuntos!G11),'Resol  Asuntos'!D11/NºAsuntos!G11," - ")</f>
        <v>0.44116514820993197</v>
      </c>
      <c r="E11" s="445">
        <f>IF(ISNUMBER((NºAsuntos!C11+NºAsuntos!E11)/NºAsuntos!G11),(NºAsuntos!C11+NºAsuntos!E11)/NºAsuntos!G11," - ")</f>
        <v>1.3728987552932119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0.98651482833403248</v>
      </c>
      <c r="C13" s="859">
        <f>IF(ISNUMBER(NºAsuntos!I13/NºAsuntos!G13),NºAsuntos!I13/NºAsuntos!G13," - ")</f>
        <v>0.53172664604027575</v>
      </c>
      <c r="D13" s="860">
        <f>IF(ISNUMBER('Resol  Asuntos'!D13/NºAsuntos!G13),'Resol  Asuntos'!D13/NºAsuntos!G13," - ")</f>
        <v>0.27992183683439181</v>
      </c>
      <c r="E13" s="861">
        <f>IF(ISNUMBER((NºAsuntos!C13+NºAsuntos!E13)/NºAsuntos!G13),(NºAsuntos!C13+NºAsuntos!E13)/NºAsuntos!G13," - ")</f>
        <v>1.5275109012285368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0.99724865485270531</v>
      </c>
      <c r="C15" s="443">
        <f>IF(ISNUMBER(NºAsuntos!I15/NºAsuntos!G15),NºAsuntos!I15/NºAsuntos!G15," - ")</f>
        <v>0.17974712474798182</v>
      </c>
      <c r="D15" s="444">
        <f>IF(ISNUMBER('Resol  Asuntos'!D15/NºAsuntos!G15),'Resol  Asuntos'!D15/NºAsuntos!G15," - ")</f>
        <v>0.17493123066500152</v>
      </c>
      <c r="E15" s="445">
        <f>IF(ISNUMBER((NºAsuntos!C15+NºAsuntos!E15)/NºAsuntos!G15),(NºAsuntos!C15+NºAsuntos!E15)/NºAsuntos!G15," - ")</f>
        <v>1.1551452522630621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1.0291467938526762</v>
      </c>
      <c r="C17" s="443">
        <f>IF(ISNUMBER(NºAsuntos!I17/NºAsuntos!G17),NºAsuntos!I17/NºAsuntos!G17," - ")</f>
        <v>0.21781668383110195</v>
      </c>
      <c r="D17" s="444">
        <f>IF(ISNUMBER('Resol  Asuntos'!D17/NºAsuntos!G17),'Resol  Asuntos'!D17/NºAsuntos!G17," - ")</f>
        <v>2.2785787847579814E-2</v>
      </c>
      <c r="E17" s="445">
        <f>IF(ISNUMBER((NºAsuntos!C17+NºAsuntos!E17)/NºAsuntos!G17),(NºAsuntos!C17+NºAsuntos!E17)/NºAsuntos!G17," - ")</f>
        <v>1.2037847579814624</v>
      </c>
      <c r="G17" s="463"/>
    </row>
    <row r="18" spans="1:7" ht="14.25" thickTop="1" thickBot="1">
      <c r="A18" s="848" t="str">
        <f>Datos!A18</f>
        <v>TOTAL</v>
      </c>
      <c r="B18" s="858">
        <f>IF(ISNUMBER(NºAsuntos!G18/NºAsuntos!E18),NºAsuntos!G18/NºAsuntos!E18," - ")</f>
        <v>0.99909507120562591</v>
      </c>
      <c r="C18" s="859">
        <f>IF(ISNUMBER(NºAsuntos!I18/NºAsuntos!G18),NºAsuntos!I18/NºAsuntos!G18," - ")</f>
        <v>0.18201705570352858</v>
      </c>
      <c r="D18" s="862">
        <f>IF(ISNUMBER('Resol  Asuntos'!D18/NºAsuntos!G18),'Resol  Asuntos'!D18/NºAsuntos!G18," - ")</f>
        <v>0.16585942477298721</v>
      </c>
      <c r="E18" s="861">
        <f>IF(ISNUMBER((NºAsuntos!C18+NºAsuntos!E18)/NºAsuntos!G18),(NºAsuntos!C18+NºAsuntos!E18)/NºAsuntos!G18," - ")</f>
        <v>1.1580454255866257</v>
      </c>
      <c r="G18" s="463"/>
    </row>
    <row r="19" spans="1:7" ht="15.75" customHeight="1" thickTop="1" thickBot="1">
      <c r="A19" s="793" t="str">
        <f>Datos!A19</f>
        <v>TOTAL JURISDICCIONES</v>
      </c>
      <c r="B19" s="808">
        <f>IF(ISNUMBER(NºAsuntos!G19/NºAsuntos!E19),NºAsuntos!G19/NºAsuntos!E19," - ")</f>
        <v>0.9932809780322216</v>
      </c>
      <c r="C19" s="809">
        <f>IF(ISNUMBER(NºAsuntos!I19/NºAsuntos!G19),NºAsuntos!I19/NºAsuntos!G19," - ")</f>
        <v>0.34253810985104871</v>
      </c>
      <c r="D19" s="810">
        <f>IF(ISNUMBER('Resol  Asuntos'!D19/NºAsuntos!G19),'Resol  Asuntos'!D19/NºAsuntos!G19," - ")</f>
        <v>0.21821549143125277</v>
      </c>
      <c r="E19" s="811">
        <f>IF(ISNUMBER((NºAsuntos!C19+NºAsuntos!E19)/NºAsuntos!G19),(NºAsuntos!C19+NºAsuntos!E19)/NºAsuntos!G19," - ")</f>
        <v>1.3276346769538696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Cjy4uvhApvGopDP7HfSDKu++DBDgjsTrd//ItIL8CJcuQlUx4ctUWJMqJZwek3ZuoT5L9oHupT3txAdurRrOQ==" saltValue="I1nqfA5aVBgKg0qynzXYu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BARCELONA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54</v>
      </c>
      <c r="B9" s="177" t="s">
        <v>246</v>
      </c>
      <c r="C9" s="160" t="str">
        <f>Datos!A9</f>
        <v xml:space="preserve">Jdos. 1ª Instancia   </v>
      </c>
      <c r="D9" s="160"/>
      <c r="E9" s="1025">
        <f>IF(ISNUMBER(Datos!AQ9),Datos!AQ9," - ")</f>
        <v>54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20098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25584</v>
      </c>
      <c r="Y9" s="334">
        <f>SUM(W9:X9)</f>
        <v>25584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73644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27173</v>
      </c>
      <c r="AJ9" s="229" t="str">
        <f>IF(ISNUMBER(Datos!BW9),Datos!BW9," - ")</f>
        <v xml:space="preserve"> - </v>
      </c>
      <c r="AK9" s="228" t="str">
        <f>IF(ISNUMBER(Datos!BX9),Datos!BX9," - ")</f>
        <v xml:space="preserve"> - </v>
      </c>
      <c r="AL9" s="243">
        <f>IF(ISNUMBER(NºAsuntos!G9/NºAsuntos!E9),NºAsuntos!G9/NºAsuntos!E9," - ")</f>
        <v>0.98433059449009186</v>
      </c>
      <c r="AM9" s="260">
        <f>IF(ISNUMBER(((NºAsuntos!I9/NºAsuntos!G9)*11)/factor_trimestre),((NºAsuntos!I9/NºAsuntos!G9)*11)/factor_trimestre," - ")</f>
        <v>5.9773050899056264</v>
      </c>
      <c r="AN9" s="244">
        <f>IF(ISNUMBER('Resol  Asuntos'!D9/NºAsuntos!G9),'Resol  Asuntos'!D9/NºAsuntos!G9," - ")</f>
        <v>0.26684932583055909</v>
      </c>
      <c r="AO9" s="245">
        <f>IF(ISNUMBER((NºAsuntos!C9+NºAsuntos!E9)/NºAsuntos!G9),(NºAsuntos!C9+NºAsuntos!E9)/NºAsuntos!G9," - ")</f>
        <v>1.5393748342810005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5</v>
      </c>
      <c r="B10" s="275" t="s">
        <v>246</v>
      </c>
      <c r="C10" s="7" t="str">
        <f>Datos!A10</f>
        <v>Jdos. Violencia contra la mujer</v>
      </c>
      <c r="D10" s="7"/>
      <c r="E10" s="1025">
        <f>IF(ISNUMBER(Datos!AQ10),Datos!AQ10," - ")</f>
        <v>5</v>
      </c>
      <c r="F10" s="225">
        <f>IF(ISNUMBER(Datos!L10+Datos!K10-Datos!J10-K10),Datos!L10+Datos!K10-Datos!J10-K10," - ")</f>
        <v>526</v>
      </c>
      <c r="G10" s="333">
        <f>IF(ISNUMBER(Datos!I10),Datos!I10," - ")</f>
        <v>526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219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916</v>
      </c>
      <c r="X10" s="226">
        <f>IF(ISNUMBER(Datos!Q10),Datos!Q10," - ")</f>
        <v>213</v>
      </c>
      <c r="Y10" s="334">
        <f t="shared" ref="Y10:Y12" si="0">SUM(W10:X10)</f>
        <v>1129</v>
      </c>
      <c r="Z10" s="335" t="str">
        <f>IF(ISNUMBER(Datos!CC10),Datos!CC10," - ")</f>
        <v xml:space="preserve"> - </v>
      </c>
      <c r="AA10" s="332">
        <f>IF(ISNUMBER(Datos!L10),Datos!L10,"-")</f>
        <v>480</v>
      </c>
      <c r="AB10" s="334">
        <f>IF(ISNUMBER(Datos!R10),Datos!R10," - ")</f>
        <v>592</v>
      </c>
      <c r="AC10" s="334">
        <f t="shared" ref="AC10:AC12" si="1">IF(ISNUMBER(AA10+AB10),AA10+AB10," - ")</f>
        <v>1072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331</v>
      </c>
      <c r="AJ10" s="231" t="str">
        <f>IF(ISNUMBER(Datos!BW10),Datos!BW10," - ")</f>
        <v xml:space="preserve"> - </v>
      </c>
      <c r="AK10" s="232" t="str">
        <f>IF(ISNUMBER(Datos!BX10),Datos!BX10," - ")</f>
        <v xml:space="preserve"> - </v>
      </c>
      <c r="AL10" s="243">
        <f>IF(ISNUMBER(NºAsuntos!G10/NºAsuntos!E10),NºAsuntos!G10/NºAsuntos!E10," - ")</f>
        <v>1.0528735632183908</v>
      </c>
      <c r="AM10" s="260">
        <f>IF(ISNUMBER(((NºAsuntos!I10/NºAsuntos!G10)*11)/factor_trimestre),((NºAsuntos!I10/NºAsuntos!G10)*11)/factor_trimestre," - ")</f>
        <v>5.7641921397379914</v>
      </c>
      <c r="AN10" s="244">
        <f>IF(ISNUMBER('Resol  Asuntos'!D10/NºAsuntos!G10),'Resol  Asuntos'!D10/NºAsuntos!G10," - ")</f>
        <v>0.361353711790393</v>
      </c>
      <c r="AO10" s="245">
        <f>IF(ISNUMBER((NºAsuntos!C10+NºAsuntos!E10)/NºAsuntos!G10),(NºAsuntos!C10+NºAsuntos!E10)/NºAsuntos!G10," - ")</f>
        <v>1.5240174672489082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8</v>
      </c>
      <c r="B11" s="275" t="s">
        <v>246</v>
      </c>
      <c r="C11" s="7" t="str">
        <f>Datos!A11</f>
        <v xml:space="preserve">Jdos. Familia                                   </v>
      </c>
      <c r="D11" s="7"/>
      <c r="E11" s="1025">
        <f>IF(ISNUMBER(Datos!AQ11),Datos!AQ11," - ")</f>
        <v>8</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919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1751</v>
      </c>
      <c r="Y11" s="334">
        <f t="shared" si="0"/>
        <v>1751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2918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3438</v>
      </c>
      <c r="AJ11" s="231" t="str">
        <f>IF(ISNUMBER(Datos!BW11),Datos!BW11," - ")</f>
        <v xml:space="preserve"> - </v>
      </c>
      <c r="AK11" s="232" t="str">
        <f>IF(ISNUMBER(Datos!BX11),Datos!BX11," - ")</f>
        <v xml:space="preserve"> - </v>
      </c>
      <c r="AL11" s="243">
        <f>IF(ISNUMBER(NºAsuntos!G11/NºAsuntos!E11),NºAsuntos!G11/NºAsuntos!E11," - ")</f>
        <v>1.0082805020054342</v>
      </c>
      <c r="AM11" s="260">
        <f>IF(ISNUMBER(((NºAsuntos!I11/NºAsuntos!G11)*11)/factor_trimestre),((NºAsuntos!I11/NºAsuntos!G11)*11)/factor_trimestre," - ")</f>
        <v>4.1823431284486077</v>
      </c>
      <c r="AN11" s="244">
        <f>IF(ISNUMBER('Resol  Asuntos'!D11/NºAsuntos!G11),'Resol  Asuntos'!D11/NºAsuntos!G11," - ")</f>
        <v>0.44116514820993197</v>
      </c>
      <c r="AO11" s="245">
        <f>IF(ISNUMBER((NºAsuntos!C11+NºAsuntos!E11)/NºAsuntos!G11),(NºAsuntos!C11+NºAsuntos!E11)/NºAsuntos!G11," - ")</f>
        <v>1.3728987552932119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67</v>
      </c>
      <c r="F13" s="865">
        <f t="shared" si="3"/>
        <v>526</v>
      </c>
      <c r="G13" s="866">
        <f t="shared" si="3"/>
        <v>526</v>
      </c>
      <c r="H13" s="865">
        <f t="shared" si="3"/>
        <v>0</v>
      </c>
      <c r="I13" s="867">
        <f t="shared" si="3"/>
        <v>0</v>
      </c>
      <c r="J13" s="867">
        <f t="shared" si="3"/>
        <v>0</v>
      </c>
      <c r="K13" s="867">
        <f t="shared" si="3"/>
        <v>0</v>
      </c>
      <c r="L13" s="867">
        <f t="shared" si="3"/>
        <v>21236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916</v>
      </c>
      <c r="X13" s="867">
        <f t="shared" si="4"/>
        <v>27548</v>
      </c>
      <c r="Y13" s="868">
        <f t="shared" si="4"/>
        <v>28464</v>
      </c>
      <c r="Z13" s="868">
        <f t="shared" si="4"/>
        <v>0</v>
      </c>
      <c r="AA13" s="868">
        <f t="shared" si="4"/>
        <v>480</v>
      </c>
      <c r="AB13" s="868">
        <f t="shared" si="4"/>
        <v>77154</v>
      </c>
      <c r="AC13" s="868">
        <f t="shared" si="4"/>
        <v>1072</v>
      </c>
      <c r="AD13" s="868">
        <f t="shared" si="4"/>
        <v>0</v>
      </c>
      <c r="AE13" s="872">
        <f t="shared" si="4"/>
        <v>0</v>
      </c>
      <c r="AF13" s="865">
        <f t="shared" si="4"/>
        <v>0</v>
      </c>
      <c r="AG13" s="873">
        <f t="shared" si="4"/>
        <v>0</v>
      </c>
      <c r="AH13" s="870">
        <f t="shared" si="4"/>
        <v>0</v>
      </c>
      <c r="AI13" s="865">
        <f t="shared" si="4"/>
        <v>30942</v>
      </c>
      <c r="AJ13" s="867">
        <f t="shared" si="4"/>
        <v>0</v>
      </c>
      <c r="AK13" s="870">
        <f>SUBTOTAL(9,AK9:AK12)</f>
        <v>0</v>
      </c>
      <c r="AL13" s="874">
        <f>IF(ISNUMBER(NºAsuntos!G13/NºAsuntos!E13),NºAsuntos!G13/NºAsuntos!E13," - ")</f>
        <v>0.98651482833403248</v>
      </c>
      <c r="AM13" s="874">
        <f>IF(ISNUMBER(((NºAsuntos!I13/NºAsuntos!G13)*11)/factor_trimestre),((NºAsuntos!I13/NºAsuntos!G13)*11)/factor_trimestre," - ")</f>
        <v>5.8489931064430332</v>
      </c>
      <c r="AN13" s="875">
        <f>IF(ISNUMBER('Resol  Asuntos'!D13/NºAsuntos!G13),'Resol  Asuntos'!D13/NºAsuntos!G13," - ")</f>
        <v>0.27992183683439181</v>
      </c>
      <c r="AO13" s="876">
        <f>IF(ISNUMBER((NºAsuntos!C13+NºAsuntos!E13)/NºAsuntos!G13),(NºAsuntos!C13+NºAsuntos!E13)/NºAsuntos!G13," - ")</f>
        <v>1.5275109012285368</v>
      </c>
      <c r="AP13" s="877" t="str">
        <f t="shared" si="2"/>
        <v xml:space="preserve"> - </v>
      </c>
      <c r="AQ13" s="877">
        <f>IF(ISNUMBER((H13-W13+K13)/(F13)),(H13-W13+K13)/(F13)," - ")</f>
        <v>-1.7414448669201521</v>
      </c>
      <c r="AR13" s="878">
        <f>IF(ISNUMBER((Datos!P13-Datos!Q13)/(Datos!R13-Datos!P13+Datos!Q13)),(Datos!P13-Datos!Q13)/(Datos!R13-Datos!P13+Datos!Q13)," - ")</f>
        <v>-7.562360721731004E-2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33</v>
      </c>
      <c r="B15" s="275" t="s">
        <v>396</v>
      </c>
      <c r="C15" s="160" t="str">
        <f>Datos!A15</f>
        <v xml:space="preserve">Jdos. Instrucción                               </v>
      </c>
      <c r="D15" s="160"/>
      <c r="E15" s="1025">
        <f>IF(ISNUMBER(Datos!AQ15),Datos!AQ15," - ")</f>
        <v>33</v>
      </c>
      <c r="F15" s="225">
        <f>IF(ISNUMBER(AA15+W15-Datos!J15-K15),AA15+W15-Datos!J15-K15," - ")</f>
        <v>21683</v>
      </c>
      <c r="G15" s="333">
        <f>IF(ISNUMBER(IF(D_I="SI",Datos!I15,Datos!I15+Datos!AC15)),IF(D_I="SI",Datos!I15,Datos!I15+Datos!AC15)," - ")</f>
        <v>18669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10322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122511</v>
      </c>
      <c r="X15" s="226">
        <f>IF(ISNUMBER(Datos!Q15),Datos!Q15," - ")</f>
        <v>10935</v>
      </c>
      <c r="Y15" s="334">
        <f>SUM(W15)</f>
        <v>122511</v>
      </c>
      <c r="Z15" s="335" t="str">
        <f>IF(ISNUMBER(Datos!CC15),Datos!CC15," - ")</f>
        <v xml:space="preserve"> - </v>
      </c>
      <c r="AA15" s="332">
        <f>IF(ISNUMBER(IF(D_I="SI",Datos!L15,Datos!L15+Datos!AF15)),IF(D_I="SI",Datos!L15,Datos!L15+Datos!AF15)," - ")</f>
        <v>22021</v>
      </c>
      <c r="AB15" s="334">
        <f>IF(ISNUMBER(Datos!R15),Datos!R15," - ")</f>
        <v>4194</v>
      </c>
      <c r="AC15" s="334">
        <f t="shared" ref="AC15:AC17" si="6">IF(ISNUMBER(AA15+AB15),AA15+AB15," - ")</f>
        <v>26215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21431</v>
      </c>
      <c r="AJ15" s="231" t="str">
        <f>IF(ISNUMBER(Datos!BW15),Datos!BW15," - ")</f>
        <v xml:space="preserve"> - </v>
      </c>
      <c r="AK15" s="232" t="str">
        <f>IF(ISNUMBER(Datos!BX15),Datos!BX15," - ")</f>
        <v xml:space="preserve"> - </v>
      </c>
      <c r="AL15" s="243">
        <f>IF(ISNUMBER(NºAsuntos!G15/NºAsuntos!E15),NºAsuntos!G15/NºAsuntos!E15," - ")</f>
        <v>0.99724865485270531</v>
      </c>
      <c r="AM15" s="260">
        <f>IF(ISNUMBER(((NºAsuntos!I15/NºAsuntos!G15)*11)/factor_trimestre),((NºAsuntos!I15/NºAsuntos!G15)*11)/factor_trimestre," - ")</f>
        <v>1.9772183722278001</v>
      </c>
      <c r="AN15" s="244">
        <f>IF(ISNUMBER('Resol  Asuntos'!D15/NºAsuntos!G15),'Resol  Asuntos'!D15/NºAsuntos!G15," - ")</f>
        <v>0.17493123066500152</v>
      </c>
      <c r="AO15" s="245">
        <f>IF(ISNUMBER((NºAsuntos!C15+NºAsuntos!E15)/NºAsuntos!G15),(NºAsuntos!C15+NºAsuntos!E15)/NºAsuntos!G15," - ")</f>
        <v>1.1551452522630621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5</v>
      </c>
      <c r="B17" s="275" t="s">
        <v>396</v>
      </c>
      <c r="C17" s="7" t="str">
        <f>Datos!A17</f>
        <v>Jdos. Violencia contra la mujer</v>
      </c>
      <c r="D17" s="7"/>
      <c r="E17" s="1025">
        <f>IF(ISNUMBER(Datos!AQ17),Datos!AQ17," - ")</f>
        <v>5</v>
      </c>
      <c r="F17" s="225" t="str">
        <f>IF(ISNUMBER(AA17+W17-H17-K17),AA17+W17-H17-K17," - ")</f>
        <v xml:space="preserve"> - </v>
      </c>
      <c r="G17" s="333">
        <f>IF(ISNUMBER(IF(D_I="SI",Datos!I17,Datos!I17+Datos!AC17)),IF(D_I="SI",Datos!I17,Datos!I17+Datos!AC17)," - ")</f>
        <v>1803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7768</v>
      </c>
      <c r="X17" s="226">
        <f>IF(ISNUMBER(Datos!Q17),Datos!Q17," - ")</f>
        <v>32</v>
      </c>
      <c r="Y17" s="334">
        <f t="shared" si="7"/>
        <v>7800</v>
      </c>
      <c r="Z17" s="335" t="str">
        <f>IF(ISNUMBER(Datos!CC17),Datos!CC17," - ")</f>
        <v xml:space="preserve"> - </v>
      </c>
      <c r="AA17" s="332">
        <f>IF(ISNUMBER(Datos!L17),Datos!L17,"-")</f>
        <v>1692</v>
      </c>
      <c r="AB17" s="334">
        <f>IF(ISNUMBER(Datos!R17),Datos!R17," - ")</f>
        <v>12</v>
      </c>
      <c r="AC17" s="334">
        <f t="shared" si="6"/>
        <v>1704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177</v>
      </c>
      <c r="AJ17" s="231" t="str">
        <f>IF(ISNUMBER(Datos!BW17),Datos!BW17," - ")</f>
        <v xml:space="preserve"> - </v>
      </c>
      <c r="AK17" s="232" t="str">
        <f>IF(ISNUMBER(Datos!BX17),Datos!BX17," - ")</f>
        <v xml:space="preserve"> - </v>
      </c>
      <c r="AL17" s="243">
        <f>IF(ISNUMBER(NºAsuntos!G17/NºAsuntos!E17),NºAsuntos!G17/NºAsuntos!E17," - ")</f>
        <v>1.0291467938526762</v>
      </c>
      <c r="AM17" s="260">
        <f>IF(ISNUMBER(((NºAsuntos!I17/NºAsuntos!G17)*11)/factor_trimestre),((NºAsuntos!I17/NºAsuntos!G17)*11)/factor_trimestre," - ")</f>
        <v>2.3959835221421213</v>
      </c>
      <c r="AN17" s="244">
        <f>IF(ISNUMBER('Resol  Asuntos'!D17/NºAsuntos!G17),'Resol  Asuntos'!D17/NºAsuntos!G17," - ")</f>
        <v>2.2785787847579814E-2</v>
      </c>
      <c r="AO17" s="245">
        <f>IF(ISNUMBER((NºAsuntos!C17+NºAsuntos!E17)/NºAsuntos!G17),(NºAsuntos!C17+NºAsuntos!E17)/NºAsuntos!G17," - ")</f>
        <v>1.2037847579814624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38</v>
      </c>
      <c r="F18" s="865">
        <f>SUBTOTAL(9,F14:F17)</f>
        <v>21683</v>
      </c>
      <c r="G18" s="866">
        <f>SUBTOTAL(9,G15:G17)</f>
        <v>20472</v>
      </c>
      <c r="H18" s="865">
        <f t="shared" ref="H18:O18" si="10">SUBTOTAL(9,H14:H17)</f>
        <v>0</v>
      </c>
      <c r="I18" s="867">
        <f t="shared" si="10"/>
        <v>0</v>
      </c>
      <c r="J18" s="867">
        <f t="shared" si="10"/>
        <v>0</v>
      </c>
      <c r="K18" s="867">
        <f t="shared" si="10"/>
        <v>0</v>
      </c>
      <c r="L18" s="867">
        <f t="shared" si="10"/>
        <v>10347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130279</v>
      </c>
      <c r="X18" s="867">
        <f t="shared" si="11"/>
        <v>10967</v>
      </c>
      <c r="Y18" s="868">
        <f t="shared" si="11"/>
        <v>130311</v>
      </c>
      <c r="Z18" s="868">
        <f t="shared" si="11"/>
        <v>0</v>
      </c>
      <c r="AA18" s="868">
        <f t="shared" si="11"/>
        <v>23713</v>
      </c>
      <c r="AB18" s="868">
        <f t="shared" si="11"/>
        <v>4206</v>
      </c>
      <c r="AC18" s="868">
        <f t="shared" si="11"/>
        <v>27919</v>
      </c>
      <c r="AD18" s="868">
        <f t="shared" si="11"/>
        <v>0</v>
      </c>
      <c r="AE18" s="872">
        <f t="shared" si="11"/>
        <v>0</v>
      </c>
      <c r="AF18" s="865">
        <f t="shared" si="11"/>
        <v>0</v>
      </c>
      <c r="AG18" s="873">
        <f t="shared" si="11"/>
        <v>0</v>
      </c>
      <c r="AH18" s="870">
        <f t="shared" si="11"/>
        <v>0</v>
      </c>
      <c r="AI18" s="865">
        <f t="shared" si="11"/>
        <v>21608</v>
      </c>
      <c r="AJ18" s="867">
        <f t="shared" si="11"/>
        <v>0</v>
      </c>
      <c r="AK18" s="870">
        <f t="shared" si="11"/>
        <v>0</v>
      </c>
      <c r="AL18" s="874">
        <f>IF(ISNUMBER(NºAsuntos!G18/NºAsuntos!E18),NºAsuntos!G18/NºAsuntos!E18," - ")</f>
        <v>0.99909507120562591</v>
      </c>
      <c r="AM18" s="874">
        <f>IF(ISNUMBER(((NºAsuntos!I18/NºAsuntos!G18)*11)/factor_trimestre),((NºAsuntos!I18/NºAsuntos!G18)*11)/factor_trimestre," - ")</f>
        <v>2.0021876127388145</v>
      </c>
      <c r="AN18" s="875">
        <f>IF(ISNUMBER('Resol  Asuntos'!D18/NºAsuntos!G18),'Resol  Asuntos'!D18/NºAsuntos!G18," - ")</f>
        <v>0.16585942477298721</v>
      </c>
      <c r="AO18" s="876">
        <f>IF(ISNUMBER((NºAsuntos!C18+NºAsuntos!E18)/NºAsuntos!G18),(NºAsuntos!C18+NºAsuntos!E18)/NºAsuntos!G18," - ")</f>
        <v>1.1580454255866257</v>
      </c>
      <c r="AP18" s="877" t="str">
        <f t="shared" si="2"/>
        <v xml:space="preserve"> - </v>
      </c>
      <c r="AQ18" s="877">
        <f>IF(ISNUMBER((H18-W18+K18)/(F18)),(H18-W18+K18)/(F18)," - ")</f>
        <v>-6.0083475533828343</v>
      </c>
      <c r="AR18" s="878">
        <f>IF(ISNUMBER((Datos!P18-Datos!Q18)/(Datos!R18-Datos!P18+Datos!Q18)),(Datos!P18-Datos!Q18)/(Datos!R18-Datos!P18+Datos!Q18)," - ")</f>
        <v>-0.12847078325735597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105</v>
      </c>
      <c r="F19" s="820">
        <f t="shared" si="13"/>
        <v>22209</v>
      </c>
      <c r="G19" s="821">
        <f t="shared" si="13"/>
        <v>20998</v>
      </c>
      <c r="H19" s="820">
        <f t="shared" si="13"/>
        <v>0</v>
      </c>
      <c r="I19" s="822">
        <f t="shared" si="13"/>
        <v>0</v>
      </c>
      <c r="J19" s="822">
        <f t="shared" si="13"/>
        <v>0</v>
      </c>
      <c r="K19" s="881">
        <f t="shared" si="13"/>
        <v>0</v>
      </c>
      <c r="L19" s="822">
        <f t="shared" si="13"/>
        <v>31583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131195</v>
      </c>
      <c r="X19" s="821">
        <f t="shared" si="14"/>
        <v>38515</v>
      </c>
      <c r="Y19" s="828">
        <f t="shared" si="14"/>
        <v>158775</v>
      </c>
      <c r="Z19" s="828">
        <f t="shared" si="14"/>
        <v>0</v>
      </c>
      <c r="AA19" s="828">
        <f t="shared" si="14"/>
        <v>24193</v>
      </c>
      <c r="AB19" s="828">
        <f t="shared" si="14"/>
        <v>81360</v>
      </c>
      <c r="AC19" s="828">
        <f t="shared" si="14"/>
        <v>28991</v>
      </c>
      <c r="AD19" s="828">
        <f t="shared" si="14"/>
        <v>0</v>
      </c>
      <c r="AE19" s="830">
        <f t="shared" si="14"/>
        <v>0</v>
      </c>
      <c r="AF19" s="831">
        <f t="shared" si="14"/>
        <v>0</v>
      </c>
      <c r="AG19" s="832">
        <f t="shared" si="14"/>
        <v>0</v>
      </c>
      <c r="AH19" s="830">
        <f t="shared" si="14"/>
        <v>0</v>
      </c>
      <c r="AI19" s="820">
        <f t="shared" si="14"/>
        <v>52550</v>
      </c>
      <c r="AJ19" s="820">
        <f t="shared" si="14"/>
        <v>0</v>
      </c>
      <c r="AK19" s="830">
        <f t="shared" si="14"/>
        <v>0</v>
      </c>
      <c r="AL19" s="884">
        <f>IF(ISNUMBER(NºAsuntos!G19/NºAsuntos!E19),NºAsuntos!G19/NºAsuntos!E19," - ")</f>
        <v>0.9932809780322216</v>
      </c>
      <c r="AM19" s="885">
        <f>IF(ISNUMBER(((NºAsuntos!I19/NºAsuntos!G19)*11)/factor_trimestre),((NºAsuntos!I19/NºAsuntos!G19)*11)/factor_trimestre," - ")</f>
        <v>3.767919208361536</v>
      </c>
      <c r="AN19" s="885">
        <f>IF(ISNUMBER('Resol  Asuntos'!D19/NºAsuntos!G19),'Resol  Asuntos'!D19/NºAsuntos!G19," - ")</f>
        <v>0.21821549143125277</v>
      </c>
      <c r="AO19" s="886">
        <f>IF(ISNUMBER((NºAsuntos!C19+NºAsuntos!E19)/NºAsuntos!G19),(NºAsuntos!C19+NºAsuntos!E19)/NºAsuntos!G19," - ")</f>
        <v>1.3276346769538696</v>
      </c>
      <c r="AP19" s="887" t="str">
        <f t="shared" si="2"/>
        <v xml:space="preserve"> - </v>
      </c>
      <c r="AQ19" s="888">
        <f>IF(OR(ISNUMBER(FIND("01",Criterios!A8,1)),ISNUMBER(FIND("02",Criterios!A8,1)),ISNUMBER(FIND("03",Criterios!A8,1)),ISNUMBER(FIND("04",Criterios!A8,1))),(I19-W19+K19)/(F19-K19),(H19-W19+K19)/(F19-K19))</f>
        <v>-5.907289837453285</v>
      </c>
      <c r="AR19" s="889">
        <f>IF(ISNUMBER((Datos!P19-Datos!Q19)/(Datos!R19-Datos!P19+Datos!Q19)),(Datos!P19-Datos!Q19)/(Datos!R19-Datos!P19+Datos!Q19)," - ")</f>
        <v>-7.8512209486703219E-2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8399.2000000000007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25.37715508089904</v>
      </c>
      <c r="F21" s="252">
        <f>IF(ISNUMBER(STDEV(F8:F18)),STDEV(F8:F18),"-")</f>
        <v>12214.999645244912</v>
      </c>
      <c r="G21" s="253">
        <f>IF(ISNUMBER(STDEV(G8:G18)),STDEV(G8:G18),"-")</f>
        <v>10231.149774096752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67590.45879042396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13266.072160644559</v>
      </c>
      <c r="AJ21" s="252">
        <f t="shared" si="18"/>
        <v>0</v>
      </c>
      <c r="AK21" s="254">
        <f t="shared" si="18"/>
        <v>0</v>
      </c>
      <c r="AL21" s="249">
        <f t="shared" si="18"/>
        <v>2.4756573622050814E-2</v>
      </c>
      <c r="AM21" s="250">
        <f t="shared" si="18"/>
        <v>1.876466714322345</v>
      </c>
      <c r="AN21" s="250">
        <f t="shared" si="18"/>
        <v>0.13800196147856719</v>
      </c>
      <c r="AO21" s="251">
        <f t="shared" si="18"/>
        <v>0.1799249320452101</v>
      </c>
      <c r="AP21" s="291" t="str">
        <f t="shared" si="18"/>
        <v>-</v>
      </c>
      <c r="AQ21" s="292">
        <f t="shared" si="18"/>
        <v>3.0171558242608598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fiE4Rt1pdh3CsJCXm9Mw7tsXDBDwtouwk6oTvGbEuihX79fG43M4vklNgRijWvSDBpN3HWoHb39NH5oLZbGOLg==" saltValue="DSsBzhX0IWrhYaTDFgGjz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BARCELONA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0.11938208032955716</v>
      </c>
      <c r="I9" s="350">
        <f>IF(ISNUMBER((Tasas!C9-Datos!BE9)/Datos!BE9),(Tasas!C9-Datos!BE9)/Datos!BE9," - ")</f>
        <v>-2.4003012781527774E-2</v>
      </c>
      <c r="J9" s="349">
        <f>IF(ISNUMBER((Tasas!D9-Datos!BF9)/Datos!BF9),(Tasas!D9-Datos!BF9)/Datos!BF9," - ")</f>
        <v>-0.38014435822989495</v>
      </c>
      <c r="K9" s="351">
        <f>IF(ISNUMBER((Tasas!E9-Datos!BG9)/Datos!BG9),(Tasas!E9-Datos!BG9)/Datos!BG9," - ")</f>
        <v>-1.2498353011082092E-2</v>
      </c>
      <c r="M9" t="e">
        <f>IF(Monitorios="SI",Datos!CE9,0)</f>
        <v>#REF!</v>
      </c>
      <c r="N9" t="e">
        <f>IF(Monitorios="SI",Datos!CF9,0)</f>
        <v>#REF!</v>
      </c>
      <c r="O9" t="e">
        <f>IF(Monitorios="SI",Datos!CG9,0)</f>
        <v>#REF!</v>
      </c>
      <c r="P9" t="e">
        <f>IF(Monitorios="SI",Datos!CH9,0)</f>
        <v>#REF!</v>
      </c>
      <c r="Q9">
        <f>IF(J_V="SI",0,Datos!AG9)</f>
        <v>1984</v>
      </c>
      <c r="R9">
        <f>IF(J_V="SI",0,Datos!AH9)</f>
        <v>8552</v>
      </c>
      <c r="S9">
        <f>IF(J_V="SI",0,Datos!AI9)</f>
        <v>8410</v>
      </c>
      <c r="T9">
        <f>IF(J_V="SI",0,Datos!AJ9)</f>
        <v>1076</v>
      </c>
    </row>
    <row r="10" spans="2:20" ht="14.25">
      <c r="B10" s="275" t="s">
        <v>246</v>
      </c>
      <c r="C10" s="7" t="str">
        <f>Datos!A10</f>
        <v>Jdos. Violencia contra la mujer</v>
      </c>
      <c r="D10" s="352">
        <f>IF(ISNUMBER((Datos!I10-Datos!S10)/Datos!S10),(Datos!I10-Datos!S10)/Datos!S10," - ")</f>
        <v>0.1927437641723356</v>
      </c>
      <c r="E10" s="348">
        <f>IF(ISNUMBER((Datos!J10-Datos!T10)/Datos!T10),(Datos!J10-Datos!T10)/Datos!T10," - ")</f>
        <v>-1.5837104072398189E-2</v>
      </c>
      <c r="F10" s="348">
        <f>IF(ISNUMBER((Datos!K10-Datos!U10)/Datos!U10),(Datos!K10-Datos!U10)/Datos!U10," - ")</f>
        <v>0.14643304130162704</v>
      </c>
      <c r="G10" s="349">
        <f>IF(ISNUMBER((Datos!L10-Datos!V10)/Datos!V10),(Datos!L10-Datos!V10)/Datos!V10," - ")</f>
        <v>-8.7452471482889732E-2</v>
      </c>
      <c r="H10" s="230">
        <f>IF(ISNUMBER((Datos!M10-Datos!W10)/Datos!W10),(Datos!M10-Datos!W10)/Datos!W10," - ")</f>
        <v>3.7617554858934171E-2</v>
      </c>
      <c r="I10" s="350">
        <f>IF(ISNUMBER((Tasas!C10-Datos!BE10)/Datos!BE10),(Tasas!C10-Datos!BE10)/Datos!BE10," - ")</f>
        <v>-0.20401148986335035</v>
      </c>
      <c r="J10" s="349">
        <f>IF(ISNUMBER((Tasas!D10-Datos!BF10)/Datos!BF10),(Tasas!D10-Datos!BF10)/Datos!BF10," - ")</f>
        <v>-9.4916565139423204E-2</v>
      </c>
      <c r="K10" s="351">
        <f>IF(ISNUMBER((Tasas!E10-Datos!BG10)/Datos!BG10),(Tasas!E10-Datos!BG10)/Datos!BG10," - ")</f>
        <v>-8.0988712202356442E-2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5.2986217457886675E-2</v>
      </c>
      <c r="I11" s="350">
        <f>IF(ISNUMBER((Tasas!C11-Datos!BE11)/Datos!BE11),(Tasas!C11-Datos!BE11)/Datos!BE11," - ")</f>
        <v>-5.2795934882422728E-2</v>
      </c>
      <c r="J11" s="349">
        <f>IF(ISNUMBER((Tasas!D11-Datos!BF11)/Datos!BF11),(Tasas!D11-Datos!BF11)/Datos!BF11," - ")</f>
        <v>0.66031583499760249</v>
      </c>
      <c r="K11" s="351">
        <f>IF(ISNUMBER((Tasas!E11-Datos!BG11)/Datos!BG11),(Tasas!E11-Datos!BG11)/Datos!BG11," - ")</f>
        <v>-1.8918401432324586E-4</v>
      </c>
      <c r="M11" t="e">
        <f>IF(Monitorios="SI",Datos!CE11,0)</f>
        <v>#REF!</v>
      </c>
      <c r="N11" t="e">
        <f>IF(Monitorios="SI",Datos!CF11,0)</f>
        <v>#REF!</v>
      </c>
      <c r="O11" t="e">
        <f>IF(Monitorios="SI",Datos!CG11,0)</f>
        <v>#REF!</v>
      </c>
      <c r="P11" t="e">
        <f>IF(Monitorios="SI",Datos!CH11,0)</f>
        <v>#REF!</v>
      </c>
      <c r="Q11">
        <f>IF(J_V="SI",0,Datos!AG11)</f>
        <v>135</v>
      </c>
      <c r="R11">
        <f>IF(J_V="SI",0,Datos!AH11)</f>
        <v>408</v>
      </c>
      <c r="S11">
        <f>IF(J_V="SI",0,Datos!AI11)</f>
        <v>449</v>
      </c>
      <c r="T11">
        <f>IF(J_V="SI",0,Datos!AJ11)</f>
        <v>114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0.1106644172439786</v>
      </c>
      <c r="I13" s="357">
        <f>IF(ISNUMBER((Tasas!C13-Datos!BE13)/Datos!BE13),(Tasas!C13-Datos!BE13)/Datos!BE13," - ")</f>
        <v>-2.6964801765984096E-2</v>
      </c>
      <c r="J13" s="355">
        <f>IF(ISNUMBER((Tasas!D13-Datos!BF13)/Datos!BF13),(Tasas!D13-Datos!BF13)/Datos!BF13," - ")</f>
        <v>-0.33115211433128772</v>
      </c>
      <c r="K13" s="358">
        <f>IF(ISNUMBER((Tasas!E13-Datos!BG13)/Datos!BG13),(Tasas!E13-Datos!BG13)/Datos!BG13," - ")</f>
        <v>-1.2205175567932817E-2</v>
      </c>
      <c r="M13" t="e">
        <f>IF(Monitorios="SI",Datos!CE13,0)</f>
        <v>#REF!</v>
      </c>
      <c r="N13" t="e">
        <f>IF(Monitorios="SI",Datos!CF13,0)</f>
        <v>#REF!</v>
      </c>
      <c r="O13" t="e">
        <f>IF(Monitorios="SI",Datos!CG13,0)</f>
        <v>#REF!</v>
      </c>
      <c r="P13" t="e">
        <f>IF(Monitorios="SI",Datos!CH13,0)</f>
        <v>#REF!</v>
      </c>
      <c r="Q13">
        <f>IF(J_V="SI",0,Datos!AG13)</f>
        <v>2119</v>
      </c>
      <c r="R13">
        <f>IF(J_V="SI",0,Datos!AH13)</f>
        <v>8960</v>
      </c>
      <c r="S13">
        <f>IF(J_V="SI",0,Datos!AI13)</f>
        <v>8859</v>
      </c>
      <c r="T13">
        <f>IF(J_V="SI",0,Datos!AJ13)</f>
        <v>1190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0.26278409090909088</v>
      </c>
      <c r="E15" s="348">
        <f>IF(ISNUMBER(
   IF(D_I="SI",(Datos!J15-Datos!T15)/Datos!T15,(Datos!J15+Datos!AD15-(Datos!T15+Datos!AL15))/(Datos!T15+Datos!AL15))
     ),IF(D_I="SI",(Datos!J15-Datos!T15)/Datos!T15,(Datos!J15+Datos!AD15-(Datos!T15+Datos!AL15))/(Datos!T15+Datos!AL15))," - ")</f>
        <v>9.7699146673814949E-2</v>
      </c>
      <c r="F15" s="348">
        <f>IF(ISNUMBER(
   IF(D_I="SI",(Datos!K15-Datos!U15)/Datos!U15,(Datos!K15+Datos!AE15-(Datos!U15+Datos!AM15))/(Datos!U15+Datos!AM15))
     ),IF(D_I="SI",(Datos!K15-Datos!U15)/Datos!U15,(Datos!K15+Datos!AE15-(Datos!U15+Datos!AM15))/(Datos!U15+Datos!AM15))," - ")</f>
        <v>0.11071723225051905</v>
      </c>
      <c r="G15" s="349">
        <f>IF(ISNUMBER(
   IF(D_I="SI",(Datos!L15-Datos!V15)/Datos!V15,(Datos!L15+Datos!AF15-(Datos!V15+Datos!AN15))/(Datos!V15+Datos!AN15))
     ),IF(D_I="SI",(Datos!L15-Datos!V15)/Datos!V15,(Datos!L15+Datos!AF15-(Datos!V15+Datos!AN15))/(Datos!V15+Datos!AN15))," - ")</f>
        <v>0.17954898494831004</v>
      </c>
      <c r="H15" s="230">
        <f>IF(ISNUMBER((Datos!M15-Datos!W15)/Datos!W15),(Datos!M15-Datos!W15)/Datos!W15," - ")</f>
        <v>3.6616039469865531E-2</v>
      </c>
      <c r="I15" s="350">
        <f>IF(ISNUMBER((Tasas!C15-Datos!BE15)/Datos!BE15),(Tasas!C15-Datos!BE15)/Datos!BE15," - ")</f>
        <v>6.197054542705277E-2</v>
      </c>
      <c r="J15" s="349">
        <f>IF(ISNUMBER((Tasas!D15-Datos!BF15)/Datos!BF15),(Tasas!D15-Datos!BF15)/Datos!BF15," - ")</f>
        <v>-6.6714723269855808E-2</v>
      </c>
      <c r="K15" s="351">
        <f>IF(ISNUMBER((Tasas!E15-Datos!BG15)/Datos!BG15),(Tasas!E15-Datos!BG15)/Datos!BG15," - ")</f>
        <v>5.6225083020661386E-3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0.25382475660639775</v>
      </c>
      <c r="E17" s="348">
        <f>IF(ISNUMBER(
   IF(D_I="SI",(Datos!J17-Datos!T17)/Datos!T17,(Datos!J17+Datos!AD17-(Datos!T17+Datos!AL17))/(Datos!T17+Datos!AL17))
     ),IF(D_I="SI",(Datos!J17-Datos!T17)/Datos!T17,(Datos!J17+Datos!AD17-(Datos!T17+Datos!AL17))/(Datos!T17+Datos!AL17))," - ")</f>
        <v>-1.3204340436658387E-2</v>
      </c>
      <c r="F17" s="348">
        <f>IF(ISNUMBER(
   IF(D_I="SI",(Datos!K17-Datos!U17)/Datos!U17,(Datos!K17+Datos!AE17-(Datos!U17+Datos!AM17))/(Datos!U17+Datos!AM17))
     ),IF(D_I="SI",(Datos!K17-Datos!U17)/Datos!U17,(Datos!K17+Datos!AE17-(Datos!U17+Datos!AM17))/(Datos!U17+Datos!AM17))," - ")</f>
        <v>5.9032038173142468E-2</v>
      </c>
      <c r="G17" s="349">
        <f>IF(ISNUMBER(
   IF(D_I="SI",(Datos!L17-Datos!V17)/Datos!V17,(Datos!L17+Datos!AF17-(Datos!V17+Datos!AN17))/(Datos!V17+Datos!AN17))
     ),IF(D_I="SI",(Datos!L17-Datos!V17)/Datos!V17,(Datos!L17+Datos!AF17-(Datos!V17+Datos!AN17))/(Datos!V17+Datos!AN17))," - ")</f>
        <v>-6.156405990016639E-2</v>
      </c>
      <c r="H17" s="230">
        <f>IF(ISNUMBER((Datos!M17-Datos!W17)/Datos!W17),(Datos!M17-Datos!W17)/Datos!W17," - ")</f>
        <v>0.36153846153846153</v>
      </c>
      <c r="I17" s="350">
        <f>IF(ISNUMBER((Tasas!C17-Datos!BE17)/Datos!BE17),(Tasas!C17-Datos!BE17)/Datos!BE17," - ")</f>
        <v>-0.11387389023786314</v>
      </c>
      <c r="J17" s="349">
        <f>IF(ISNUMBER((Tasas!D17-Datos!BF17)/Datos!BF17),(Tasas!D17-Datos!BF17)/Datos!BF17," - ")</f>
        <v>0.28564426047690705</v>
      </c>
      <c r="K17" s="351">
        <f>IF(ISNUMBER((Tasas!E17-Datos!BG17)/Datos!BG17),(Tasas!E17-Datos!BG17)/Datos!BG17," - ")</f>
        <v>-2.8308440652137463E-2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0.26198989027246949</v>
      </c>
      <c r="E18" s="354">
        <f>IF(ISNUMBER(
   IF(D_I="SI",(Datos!J18-Datos!T18)/Datos!T18,(Datos!J18+Datos!AD18-(Datos!T18+Datos!AL18))/(Datos!T18+Datos!AL18))
     ),IF(D_I="SI",(Datos!J18-Datos!T18)/Datos!T18,(Datos!J18+Datos!AD18-(Datos!T18+Datos!AL18))/(Datos!T18+Datos!AL18))," - ")</f>
        <v>9.0604195242715194E-2</v>
      </c>
      <c r="F18" s="354">
        <f>IF(ISNUMBER(
   IF(D_I="SI",(Datos!K18-Datos!U18)/Datos!U18,(Datos!K18+Datos!AE18-(Datos!U18+Datos!AM18))/(Datos!U18+Datos!AM18))
     ),IF(D_I="SI",(Datos!K18-Datos!U18)/Datos!U18,(Datos!K18+Datos!AE18-(Datos!U18+Datos!AM18))/(Datos!U18+Datos!AM18))," - ")</f>
        <v>0.1074944318819389</v>
      </c>
      <c r="G18" s="355">
        <f>IF(ISNUMBER(
   IF(D_I="SI",(Datos!L18-Datos!V18)/Datos!V18,(Datos!L18+Datos!AF18-(Datos!V18+Datos!AN18))/(Datos!V18+Datos!AN18))
     ),IF(D_I="SI",(Datos!L18-Datos!V18)/Datos!V18,(Datos!L18+Datos!AF18-(Datos!V18+Datos!AN18))/(Datos!V18+Datos!AN18))," - ")</f>
        <v>0.15831379445095742</v>
      </c>
      <c r="H18" s="356">
        <f>IF(ISNUMBER((Datos!M18-Datos!W18)/Datos!W18),(Datos!M18-Datos!W18)/Datos!W18," - ")</f>
        <v>3.8646414151124783E-2</v>
      </c>
      <c r="I18" s="357">
        <f>IF(ISNUMBER((Tasas!C18-Datos!BE18)/Datos!BE18),(Tasas!C18-Datos!BE18)/Datos!BE18," - ")</f>
        <v>4.5886788326928475E-2</v>
      </c>
      <c r="J18" s="355">
        <f>IF(ISNUMBER((Tasas!D18-Datos!BF18)/Datos!BF18),(Tasas!D18-Datos!BF18)/Datos!BF18," - ")</f>
        <v>-6.2165565576544048E-2</v>
      </c>
      <c r="K18" s="358">
        <f>IF(ISNUMBER((Tasas!E18-Datos!BG18)/Datos!BG18),(Tasas!E18-Datos!BG18)/Datos!BG18," - ")</f>
        <v>3.2368255450277183E-3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9.8582538351081217E-2</v>
      </c>
      <c r="E19" s="363">
        <f>IF(ISNUMBER(
   IF(J_V="SI",(Datos!J19-Datos!T19)/Datos!T19,(Datos!J19+Datos!Z19-(Datos!T19+Datos!AH19))/(Datos!T19+Datos!AH19))
     ),IF(J_V="SI",(Datos!J19-Datos!T19)/Datos!T19,(Datos!J19+Datos!Z19-(Datos!T19+Datos!AH19))/(Datos!T19+Datos!AH19))," - ")</f>
        <v>7.3059542619910683E-2</v>
      </c>
      <c r="F19" s="363">
        <f>IF(ISNUMBER(
   IF(J_V="SI",(Datos!K19-Datos!U19)/Datos!U19,(Datos!K19+Datos!AA19-(Datos!U19+Datos!AI19))/(Datos!U19+Datos!AI19))
     ),IF(J_V="SI",(Datos!K19-Datos!U19)/Datos!U19,(Datos!K19+Datos!AA19-(Datos!U19+Datos!AI19))/(Datos!U19+Datos!AI19))," - ")</f>
        <v>8.7612569890433478E-2</v>
      </c>
      <c r="G19" s="364">
        <f>IF(ISNUMBER(
   IF(J_V="SI",(Datos!L19-Datos!V19)/Datos!V19,(Datos!L19+Datos!AB19-(Datos!V19+Datos!AJ19))/(Datos!V19+Datos!AJ19))
     ),IF(J_V="SI",(Datos!L19-Datos!V19)/Datos!V19,(Datos!L19+Datos!AB19-(Datos!V19+Datos!AJ19))/(Datos!V19+Datos!AJ19))," - ")</f>
        <v>6.8704169149845826E-2</v>
      </c>
      <c r="H19" s="365">
        <f>IF(ISNUMBER((Datos!M19-Datos!W19)/Datos!W19),(Datos!M19-Datos!W19)/Datos!W19," - ")</f>
        <v>7.9875881059531889E-2</v>
      </c>
      <c r="I19" s="362">
        <f>IF(ISNUMBER((Tasas!C19-Datos!BE19)/Datos!BE19),(Tasas!C19-Datos!BE19)/Datos!BE19," - ")</f>
        <v>-1.7385235573815092E-2</v>
      </c>
      <c r="J19" s="363">
        <f>IF(ISNUMBER((Tasas!D19-Datos!BF19)/Datos!BF19),(Tasas!D19-Datos!BF19)/Datos!BF19," - ")</f>
        <v>-0.24785819079180677</v>
      </c>
      <c r="K19" s="364">
        <f>IF(ISNUMBER((Tasas!E19-Datos!BG19)/Datos!BG19),(Tasas!E19-Datos!BG19)/Datos!BG19," - ")</f>
        <v>-7.8095596613566975E-3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3.3639177085134565E-2</v>
      </c>
      <c r="E21" s="278">
        <f t="shared" si="1"/>
        <v>6.2818054561518233E-2</v>
      </c>
      <c r="F21" s="278">
        <f t="shared" si="1"/>
        <v>3.5894659538476606E-2</v>
      </c>
      <c r="G21" s="279">
        <f t="shared" si="1"/>
        <v>0.14121312191369384</v>
      </c>
      <c r="H21" s="285">
        <f t="shared" si="1"/>
        <v>0.11712094606827517</v>
      </c>
      <c r="I21" s="277">
        <f t="shared" si="1"/>
        <v>9.1795136452420364E-2</v>
      </c>
      <c r="J21" s="278">
        <f t="shared" si="1"/>
        <v>0.36264969278688358</v>
      </c>
      <c r="K21" s="279">
        <f t="shared" si="1"/>
        <v>3.0176913693300965E-2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FzkETKrSJJGxzAwLLf2mVr9W/U5tcnTFbEHfFRX7qhspVz71qyEJ8eZSXUhVNkygApte0CkDK4tS+xmQZDhEw==" saltValue="Q2TG6yLbklNMn+z/HyNOe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5.9773050899056264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5</v>
      </c>
      <c r="B10" s="502" t="str">
        <f>Datos!A10</f>
        <v>Jdos. Violencia contra la mujer</v>
      </c>
      <c r="C10" s="225">
        <f t="shared" si="0"/>
        <v>526</v>
      </c>
      <c r="D10" s="225">
        <f>IF(ISNUMBER(Datos!I10),Datos!I10," - ")</f>
        <v>526</v>
      </c>
      <c r="E10" s="226">
        <f>IF(ISNUMBER(Datos!J10),Datos!J10," - ")</f>
        <v>870</v>
      </c>
      <c r="F10" s="226">
        <f>IF(ISNUMBER(Datos!K10),Datos!K10," - ")</f>
        <v>916</v>
      </c>
      <c r="G10" s="1034" t="str">
        <f>IF(Datos!E10&lt;&gt;"",Datos!E10,Datos!D10)</f>
        <v>37</v>
      </c>
      <c r="H10" s="227">
        <f>IF(ISNUMBER(Datos!L10),Datos!L10," - ")</f>
        <v>480</v>
      </c>
      <c r="I10" s="1044" t="str">
        <f>IF(ISNUMBER(Datos!AS10/Datos!BM10),Datos!AS10/Datos!BM10," - ")</f>
        <v xml:space="preserve"> - </v>
      </c>
      <c r="J10" s="1045">
        <f>IF(ISNUMBER(Datos!BY10/Datos!CN10),Datos!BY10/Datos!CN10," - ")</f>
        <v>0</v>
      </c>
      <c r="K10" s="230">
        <f t="shared" ref="K10:K12" si="1">IF(ISNUMBER((E10-F10)/C10),(E10-F10)/C10," - ")</f>
        <v>-8.7452471482889732E-2</v>
      </c>
      <c r="L10" s="1025">
        <f>IF(ISNUMBER(NºAsuntos!I10/NºAsuntos!G10),(NºAsuntos!I10/NºAsuntos!G10)*11," - ")</f>
        <v>5.7641921397379914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8</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4.1823431284486077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526</v>
      </c>
      <c r="D13" s="1049">
        <f>SUBTOTAL(9,D9:D12)</f>
        <v>526</v>
      </c>
      <c r="E13" s="1050">
        <f>SUBTOTAL(9,E9:E12)</f>
        <v>870</v>
      </c>
      <c r="F13" s="1051">
        <f>SUBTOTAL(9,F9:F12)</f>
        <v>916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33</v>
      </c>
      <c r="B15" s="502" t="str">
        <f>Datos!A15</f>
        <v xml:space="preserve">Jdos. Instrucción                               </v>
      </c>
      <c r="C15" s="225">
        <f t="shared" ref="C15:C17" si="2">IF(ISNUMBER(H15-E15+F15),H15-E15+F15," - ")</f>
        <v>21683</v>
      </c>
      <c r="D15" s="225">
        <f>IF(ISNUMBER(IF(D_I="SI",Datos!I15,Datos!I15+Datos!AC15)),IF(D_I="SI",Datos!I15,Datos!I15+Datos!AC15)," - ")</f>
        <v>18669</v>
      </c>
      <c r="E15" s="226">
        <f>IF(ISNUMBER(IF(D_I="SI",Datos!J15,Datos!J15+Datos!AD15)),IF(D_I="SI",Datos!J15,Datos!J15+Datos!AD15)," - ")</f>
        <v>122849</v>
      </c>
      <c r="F15" s="226">
        <f>IF(ISNUMBER(IF(D_I="SI",Datos!K15,Datos!K15+Datos!AE15)),IF(D_I="SI",Datos!K15,Datos!K15+Datos!AE15)," - ")</f>
        <v>122511</v>
      </c>
      <c r="G15" s="1034" t="str">
        <f>IF(Datos!E15&lt;&gt;"",Datos!E15,Datos!D15)</f>
        <v>03</v>
      </c>
      <c r="H15" s="227">
        <f>IF(ISNUMBER(IF(D_I="SI",Datos!L15,Datos!L15+Datos!AF15)),IF(D_I="SI",Datos!L15,Datos!L15+Datos!AF15)," - ")</f>
        <v>22021</v>
      </c>
      <c r="I15" s="1044" t="str">
        <f>IF(ISNUMBER(Datos!AS15/Datos!BM15),Datos!AS15/Datos!BM15," - ")</f>
        <v xml:space="preserve"> - </v>
      </c>
      <c r="J15" s="1045">
        <f>IF(ISNUMBER(Datos!BY15/Datos!CN15),Datos!BY15/Datos!CN15," - ")</f>
        <v>0</v>
      </c>
      <c r="K15" s="230">
        <f t="shared" ref="K15:K17" si="3">IF(ISNUMBER((E15-F15)/C15),(E15-F15)/C15," - ")</f>
        <v>1.5588248858552783E-2</v>
      </c>
      <c r="L15" s="1025">
        <f>IF(ISNUMBER(NºAsuntos!I15/NºAsuntos!G15),(NºAsuntos!I15/NºAsuntos!G15)*11," - ")</f>
        <v>1.9772183722278001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5</v>
      </c>
      <c r="B17" s="502" t="str">
        <f>Datos!A17</f>
        <v>Jdos. Violencia contra la mujer</v>
      </c>
      <c r="C17" s="225">
        <f t="shared" si="2"/>
        <v>1912</v>
      </c>
      <c r="D17" s="225">
        <f>IF(ISNUMBER(IF(D_I="SI",Datos!I17,Datos!I17+Datos!AC17)),IF(D_I="SI",Datos!I17,Datos!I17+Datos!AC17)," - ")</f>
        <v>1803</v>
      </c>
      <c r="E17" s="226">
        <f>IF(ISNUMBER(IF(D_I="SI",Datos!J17,Datos!J17+Datos!AD17)),IF(D_I="SI",Datos!J17,Datos!J17+Datos!AD17)," - ")</f>
        <v>7548</v>
      </c>
      <c r="F17" s="226">
        <f>IF(ISNUMBER(IF(D_I="SI",Datos!K17,Datos!K17+Datos!AE17)),IF(D_I="SI",Datos!K17,Datos!K17+Datos!AE17)," - ")</f>
        <v>7768</v>
      </c>
      <c r="G17" s="1034" t="str">
        <f>IF(Datos!E17&lt;&gt;"",Datos!E17,Datos!D17)</f>
        <v>37</v>
      </c>
      <c r="H17" s="227">
        <f>IF(ISNUMBER(IF(D_I="SI",Datos!L17,Datos!L17+Datos!AF17)),IF(D_I="SI",Datos!L17,Datos!L17+Datos!AF17)," - ")</f>
        <v>1692</v>
      </c>
      <c r="I17" s="1044" t="str">
        <f>IF(ISNUMBER(Datos!AS17/Datos!BM17),Datos!AS17/Datos!BM17," - ")</f>
        <v xml:space="preserve"> - </v>
      </c>
      <c r="J17" s="1045" t="str">
        <f>IF(ISNUMBER((Datos!BY17+Datos!BZ17)/Datos!CN17),(Datos!BY17+Datos!BZ17)/Datos!CN17," - ")</f>
        <v xml:space="preserve"> - </v>
      </c>
      <c r="K17" s="230">
        <f t="shared" si="3"/>
        <v>-0.11506276150627615</v>
      </c>
      <c r="L17" s="1025">
        <f>IF(ISNUMBER(NºAsuntos!I17/NºAsuntos!G17),(NºAsuntos!I17/NºAsuntos!G17)*11," - ")</f>
        <v>2.3959835221421213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23595</v>
      </c>
      <c r="D18" s="1049">
        <f>SUBTOTAL(9,D15:D17)</f>
        <v>20472</v>
      </c>
      <c r="E18" s="1050">
        <f>SUBTOTAL(9,E15:E17)</f>
        <v>130397</v>
      </c>
      <c r="F18" s="1050">
        <f>SUBTOTAL(9,F15:F17)</f>
        <v>130279</v>
      </c>
      <c r="G18" s="1052" t="str">
        <f ca="1">INDIRECT(CONCATENATE("G",ROW()-1))</f>
        <v>37</v>
      </c>
      <c r="H18" s="1053">
        <f ca="1">SUMIF(G$14:G17,G18,H$14:H17)</f>
        <v>1692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24121</v>
      </c>
      <c r="D19" s="1071">
        <f>SUBTOTAL(9,D9:D18)</f>
        <v>20998</v>
      </c>
      <c r="E19" s="1072">
        <f>SUBTOTAL(9,E9:E18)</f>
        <v>131267</v>
      </c>
      <c r="F19" s="1072">
        <f>SUBTOTAL(9,F9:F18)</f>
        <v>131195</v>
      </c>
      <c r="G19" s="1073"/>
      <c r="H19" s="1074">
        <f ca="1">SUMIF(B9:B18,"TOTAL",H9:H18)</f>
        <v>1692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SivJkhBUSatE8bZIbIkoGHLEXByyNryNPrkcZafOxf2xKlNhMlIupOWJLJg8oFwO1rn1wmP85cVuLMZvr78/g==" saltValue="uMQKtMx0bf+rg286Uy29F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kLnnJCi1DgPqIo0zm1QJRQeUyszsG1RJcifUUfqz2EnVGC9jdoMYkJsNx0iTmqA6peVy5pT9eyLhJIMRpCOig==" saltValue="OM6HyRjr/Sc0mk2Na6g6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52227</v>
      </c>
      <c r="J9" s="181">
        <v>96873</v>
      </c>
      <c r="K9" s="181">
        <v>94859</v>
      </c>
      <c r="L9" s="181">
        <v>54626</v>
      </c>
      <c r="M9" s="181">
        <v>27173</v>
      </c>
      <c r="N9" s="181">
        <v>46574</v>
      </c>
      <c r="O9" s="181">
        <v>38749</v>
      </c>
      <c r="P9" s="181">
        <v>20098</v>
      </c>
      <c r="Q9" s="181">
        <v>25584</v>
      </c>
      <c r="R9" s="181">
        <v>73644</v>
      </c>
      <c r="S9" s="181">
        <v>48930</v>
      </c>
      <c r="T9" s="181">
        <v>89539</v>
      </c>
      <c r="U9" s="181">
        <v>87176</v>
      </c>
      <c r="V9" s="181">
        <v>52142</v>
      </c>
      <c r="W9" s="181">
        <v>24275</v>
      </c>
      <c r="X9" s="188">
        <v>41150</v>
      </c>
      <c r="Y9" s="191">
        <v>1076</v>
      </c>
      <c r="Z9" s="181">
        <v>6577</v>
      </c>
      <c r="AA9" s="181">
        <v>6970</v>
      </c>
      <c r="AB9" s="181">
        <v>707</v>
      </c>
      <c r="AC9" s="181">
        <v>0</v>
      </c>
      <c r="AD9" s="181">
        <v>0</v>
      </c>
      <c r="AE9" s="181">
        <v>0</v>
      </c>
      <c r="AF9" s="188">
        <v>0</v>
      </c>
      <c r="AG9" s="191">
        <v>1984</v>
      </c>
      <c r="AH9" s="181">
        <v>8552</v>
      </c>
      <c r="AI9" s="181">
        <v>8410</v>
      </c>
      <c r="AJ9" s="192">
        <v>1076</v>
      </c>
      <c r="AK9" s="180">
        <v>0</v>
      </c>
      <c r="AL9" s="181">
        <v>0</v>
      </c>
      <c r="AM9" s="181">
        <v>0</v>
      </c>
      <c r="AN9" s="188">
        <v>0</v>
      </c>
      <c r="AO9" s="258">
        <v>54</v>
      </c>
      <c r="AP9" s="154">
        <v>54</v>
      </c>
      <c r="AQ9" s="154">
        <v>54</v>
      </c>
      <c r="AR9" s="193">
        <v>54</v>
      </c>
      <c r="AS9" s="338" t="s">
        <v>799</v>
      </c>
      <c r="AT9" s="195"/>
      <c r="AU9" s="194"/>
      <c r="AV9" s="195"/>
      <c r="AW9" s="194"/>
      <c r="AX9" s="195"/>
      <c r="AY9" s="123">
        <f>IF(ISNUMBER(IF(J_V="SI",S9,S9+AG9)),IF(J_V="SI",S9,S9+AG9)," - ")</f>
        <v>50914</v>
      </c>
      <c r="AZ9" s="123">
        <f>IF(ISNUMBER(IF(J_V="SI",T9,T9+AH9)),IF(J_V="SI",T9,T9+AH9)," - ")</f>
        <v>98091</v>
      </c>
      <c r="BA9" s="124">
        <f>IF(ISNUMBER(IF(J_V="SI",U9,U9+AI9)),IF(J_V="SI",U9,U9+AI9)," - ")</f>
        <v>95586</v>
      </c>
      <c r="BB9" s="124">
        <f>IF(ISNUMBER(IF(J_V="SI",V9,V9+AJ9)),IF(J_V="SI",V9,V9+AJ9)," - ")</f>
        <v>53218</v>
      </c>
      <c r="BC9" s="125">
        <f>IF(ISNUMBER(X9),X9," - ")</f>
        <v>41150</v>
      </c>
      <c r="BD9" s="126">
        <f>IF(ISNUMBER(BA9/AZ9),BA9/AZ9," - ")</f>
        <v>0.97446248891335596</v>
      </c>
      <c r="BE9" s="127">
        <f>IF(ISNUMBER(BB9/BA9),BB9/BA9, " - ")</f>
        <v>0.55675517335174607</v>
      </c>
      <c r="BF9" s="127">
        <f>IF(ISNUMBER(BC9/BA9),BC9/BA9, " - ")</f>
        <v>0.43050237482476511</v>
      </c>
      <c r="BG9" s="196">
        <f>IF(ISNUMBER((AY9+AZ9)/BA9),(AY9+AZ9)/BA9," - ")</f>
        <v>1.5588579917561149</v>
      </c>
      <c r="BH9" s="154">
        <v>53</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526</v>
      </c>
      <c r="J10" s="181">
        <v>870</v>
      </c>
      <c r="K10" s="181">
        <v>916</v>
      </c>
      <c r="L10" s="181">
        <v>480</v>
      </c>
      <c r="M10" s="181">
        <v>331</v>
      </c>
      <c r="N10" s="181">
        <v>368</v>
      </c>
      <c r="O10" s="181">
        <v>226</v>
      </c>
      <c r="P10" s="181">
        <v>219</v>
      </c>
      <c r="Q10" s="181">
        <v>213</v>
      </c>
      <c r="R10" s="181">
        <v>592</v>
      </c>
      <c r="S10" s="181">
        <v>441</v>
      </c>
      <c r="T10" s="181">
        <v>884</v>
      </c>
      <c r="U10" s="181">
        <v>799</v>
      </c>
      <c r="V10" s="181">
        <v>526</v>
      </c>
      <c r="W10" s="181">
        <v>319</v>
      </c>
      <c r="X10" s="188">
        <v>336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5</v>
      </c>
      <c r="AP10" s="155">
        <v>5</v>
      </c>
      <c r="AQ10" s="154">
        <v>5</v>
      </c>
      <c r="AR10" s="155">
        <v>5</v>
      </c>
      <c r="AS10" s="339" t="s">
        <v>793</v>
      </c>
      <c r="AT10" s="192"/>
      <c r="AU10" s="200"/>
      <c r="AV10" s="192"/>
      <c r="AW10" s="200"/>
      <c r="AX10" s="192"/>
      <c r="AY10" s="128">
        <f t="shared" ref="AY10:BC10" si="0">IF(ISNUMBER(S10),S10," - ")</f>
        <v>441</v>
      </c>
      <c r="AZ10" s="129">
        <f t="shared" si="0"/>
        <v>884</v>
      </c>
      <c r="BA10" s="129">
        <f t="shared" si="0"/>
        <v>799</v>
      </c>
      <c r="BB10" s="129">
        <f t="shared" si="0"/>
        <v>526</v>
      </c>
      <c r="BC10" s="125">
        <f t="shared" si="0"/>
        <v>319</v>
      </c>
      <c r="BD10" s="126">
        <f>IF(ISNUMBER(BA10/AZ10),BA10/AZ10," - ")</f>
        <v>0.90384615384615385</v>
      </c>
      <c r="BE10" s="127">
        <f>IF(ISNUMBER(BB10/BA10),BB10/BA10, " - ")</f>
        <v>0.65832290362953694</v>
      </c>
      <c r="BF10" s="127">
        <f>IF(ISNUMBER(BC10/BA10),BC10/BA10, " - ")</f>
        <v>0.39924906132665833</v>
      </c>
      <c r="BG10" s="196">
        <f>IF(ISNUMBER((AY10+AZ10)/BA10),(AY10+AZ10)/BA10," - ")</f>
        <v>1.6583229036295368</v>
      </c>
      <c r="BH10" s="155">
        <v>5</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2856</v>
      </c>
      <c r="J11" s="183">
        <v>7282</v>
      </c>
      <c r="K11" s="183">
        <v>7354</v>
      </c>
      <c r="L11" s="183">
        <v>2830</v>
      </c>
      <c r="M11" s="183">
        <v>3438</v>
      </c>
      <c r="N11" s="183">
        <v>2268</v>
      </c>
      <c r="O11" s="181">
        <v>2567</v>
      </c>
      <c r="P11" s="183">
        <v>919</v>
      </c>
      <c r="Q11" s="183">
        <v>1751</v>
      </c>
      <c r="R11" s="183">
        <v>2918</v>
      </c>
      <c r="S11" s="183">
        <v>2625</v>
      </c>
      <c r="T11" s="183">
        <v>6992</v>
      </c>
      <c r="U11" s="183">
        <v>6950</v>
      </c>
      <c r="V11" s="183">
        <v>2856</v>
      </c>
      <c r="W11" s="183">
        <v>3265</v>
      </c>
      <c r="X11" s="189">
        <v>1966</v>
      </c>
      <c r="Y11" s="191">
        <v>114</v>
      </c>
      <c r="Z11" s="181">
        <v>447</v>
      </c>
      <c r="AA11" s="181">
        <v>439</v>
      </c>
      <c r="AB11" s="181">
        <v>133</v>
      </c>
      <c r="AC11" s="183">
        <v>0</v>
      </c>
      <c r="AD11" s="183">
        <v>0</v>
      </c>
      <c r="AE11" s="183">
        <v>0</v>
      </c>
      <c r="AF11" s="189">
        <v>0</v>
      </c>
      <c r="AG11" s="202">
        <v>135</v>
      </c>
      <c r="AH11" s="183">
        <v>408</v>
      </c>
      <c r="AI11" s="183">
        <v>449</v>
      </c>
      <c r="AJ11" s="203">
        <v>114</v>
      </c>
      <c r="AK11" s="182">
        <v>0</v>
      </c>
      <c r="AL11" s="183">
        <v>0</v>
      </c>
      <c r="AM11" s="183">
        <v>0</v>
      </c>
      <c r="AN11" s="189">
        <v>0</v>
      </c>
      <c r="AO11" s="259">
        <v>8</v>
      </c>
      <c r="AP11" s="155">
        <v>8</v>
      </c>
      <c r="AQ11" s="155">
        <v>8</v>
      </c>
      <c r="AR11" s="154">
        <v>8</v>
      </c>
      <c r="AS11" s="340" t="s">
        <v>801</v>
      </c>
      <c r="AT11" s="203"/>
      <c r="AU11" s="202"/>
      <c r="AV11" s="203"/>
      <c r="AW11" s="202"/>
      <c r="AX11" s="203"/>
      <c r="AY11" s="126">
        <f t="shared" ref="AY11:BB12" si="1">IF(ISNUMBER(IF(J_V="SI",S11,S11+AG11)),IF(J_V="SI",S11,S11+AG11)," - ")</f>
        <v>2760</v>
      </c>
      <c r="AZ11" s="127">
        <f t="shared" si="1"/>
        <v>7400</v>
      </c>
      <c r="BA11" s="127">
        <f t="shared" si="1"/>
        <v>7399</v>
      </c>
      <c r="BB11" s="127">
        <f t="shared" si="1"/>
        <v>2970</v>
      </c>
      <c r="BC11" s="125">
        <f>IF(ISNUMBER(X11),X11," - ")</f>
        <v>1966</v>
      </c>
      <c r="BD11" s="126">
        <f t="shared" ref="BD11:BD12" si="2">IF(ISNUMBER(BA11/AZ11),BA11/AZ11," - ")</f>
        <v>0.99986486486486481</v>
      </c>
      <c r="BE11" s="127">
        <f t="shared" ref="BE11:BE12" si="3">IF(ISNUMBER(BB11/BA11),BB11/BA11, " - ")</f>
        <v>0.40140559535072307</v>
      </c>
      <c r="BF11" s="127">
        <f t="shared" ref="BF11:BF12" si="4">IF(ISNUMBER(BC11/BA11),BC11/BA11, " - ")</f>
        <v>0.26571158264630357</v>
      </c>
      <c r="BG11" s="196">
        <f t="shared" ref="BG11:BG12" si="5">IF(ISNUMBER((AY11+AZ11)/BA11),(AY11+AZ11)/BA11," - ")</f>
        <v>1.3731585349371536</v>
      </c>
      <c r="BH11" s="155">
        <v>8</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55609</v>
      </c>
      <c r="J13" s="184">
        <f t="shared" si="6"/>
        <v>105025</v>
      </c>
      <c r="K13" s="184">
        <f t="shared" si="6"/>
        <v>103129</v>
      </c>
      <c r="L13" s="184">
        <f t="shared" si="6"/>
        <v>57936</v>
      </c>
      <c r="M13" s="184">
        <f t="shared" si="6"/>
        <v>30942</v>
      </c>
      <c r="N13" s="184">
        <f t="shared" si="6"/>
        <v>49210</v>
      </c>
      <c r="O13" s="184">
        <f t="shared" si="6"/>
        <v>41542</v>
      </c>
      <c r="P13" s="184">
        <f t="shared" si="6"/>
        <v>21236</v>
      </c>
      <c r="Q13" s="184">
        <f t="shared" si="6"/>
        <v>27548</v>
      </c>
      <c r="R13" s="184">
        <f t="shared" si="6"/>
        <v>77154</v>
      </c>
      <c r="S13" s="184">
        <f t="shared" si="6"/>
        <v>51996</v>
      </c>
      <c r="T13" s="184">
        <f t="shared" si="6"/>
        <v>97415</v>
      </c>
      <c r="U13" s="184">
        <f t="shared" si="6"/>
        <v>94925</v>
      </c>
      <c r="V13" s="184">
        <f t="shared" si="6"/>
        <v>55524</v>
      </c>
      <c r="W13" s="184">
        <f t="shared" si="6"/>
        <v>27859</v>
      </c>
      <c r="X13" s="184">
        <f t="shared" si="6"/>
        <v>43452</v>
      </c>
      <c r="Y13" s="184">
        <f t="shared" si="6"/>
        <v>1190</v>
      </c>
      <c r="Z13" s="184">
        <f t="shared" si="6"/>
        <v>7024</v>
      </c>
      <c r="AA13" s="184">
        <f t="shared" si="6"/>
        <v>7409</v>
      </c>
      <c r="AB13" s="184">
        <f t="shared" si="6"/>
        <v>840</v>
      </c>
      <c r="AC13" s="184">
        <f t="shared" si="6"/>
        <v>0</v>
      </c>
      <c r="AD13" s="184">
        <f t="shared" si="6"/>
        <v>0</v>
      </c>
      <c r="AE13" s="184">
        <f t="shared" si="6"/>
        <v>0</v>
      </c>
      <c r="AF13" s="184">
        <f>SUBTOTAL(9,AF9:AF12)</f>
        <v>0</v>
      </c>
      <c r="AG13" s="184">
        <f t="shared" ref="AG13:AT13" si="7">SUBTOTAL(9,AG8:AG12)</f>
        <v>2119</v>
      </c>
      <c r="AH13" s="184">
        <f t="shared" si="7"/>
        <v>8960</v>
      </c>
      <c r="AI13" s="184">
        <f t="shared" si="7"/>
        <v>8859</v>
      </c>
      <c r="AJ13" s="184">
        <f t="shared" si="7"/>
        <v>1190</v>
      </c>
      <c r="AK13" s="184">
        <f t="shared" si="7"/>
        <v>0</v>
      </c>
      <c r="AL13" s="184">
        <f t="shared" si="7"/>
        <v>0</v>
      </c>
      <c r="AM13" s="184">
        <f t="shared" si="7"/>
        <v>0</v>
      </c>
      <c r="AN13" s="184">
        <f t="shared" si="7"/>
        <v>0</v>
      </c>
      <c r="AO13" s="184">
        <f t="shared" si="7"/>
        <v>67</v>
      </c>
      <c r="AP13" s="184">
        <f t="shared" si="7"/>
        <v>67</v>
      </c>
      <c r="AQ13" s="184">
        <f t="shared" si="7"/>
        <v>67</v>
      </c>
      <c r="AR13" s="184">
        <f t="shared" si="7"/>
        <v>67</v>
      </c>
      <c r="AS13" s="184">
        <f t="shared" si="7"/>
        <v>0</v>
      </c>
      <c r="AT13" s="184">
        <f t="shared" si="7"/>
        <v>0</v>
      </c>
      <c r="AU13" s="204"/>
      <c r="AV13" s="132"/>
      <c r="AW13" s="204"/>
      <c r="AX13" s="132"/>
      <c r="AY13" s="184">
        <f>SUBTOTAL(9,AY8:AY12)</f>
        <v>54115</v>
      </c>
      <c r="AZ13" s="184">
        <f>SUBTOTAL(9,AZ8:AZ12)</f>
        <v>106375</v>
      </c>
      <c r="BA13" s="184">
        <f>SUBTOTAL(9,BA8:BA12)</f>
        <v>103784</v>
      </c>
      <c r="BB13" s="184">
        <f>SUBTOTAL(9,BB8:BB12)</f>
        <v>56714</v>
      </c>
      <c r="BC13" s="184">
        <f>SUBTOTAL(9,BC8:BC12)</f>
        <v>43435</v>
      </c>
      <c r="BD13" s="205">
        <f>IF(ISNUMBER(BA13/AZ13),BA13/AZ13," - ")</f>
        <v>0.97564277320799064</v>
      </c>
      <c r="BE13" s="206">
        <f>IF(ISNUMBER(BB13/BA13),BB13/BA13, " - ")</f>
        <v>0.5464618823710784</v>
      </c>
      <c r="BF13" s="206">
        <f>IF(ISNUMBER(BC13/BA13),BC13/BA13, " - ")</f>
        <v>0.41851345101364373</v>
      </c>
      <c r="BG13" s="207">
        <f>IF(ISNUMBER((AY13+AZ13)/BA13),(AY13+AZ13)/BA13," - ")</f>
        <v>1.546384799198335</v>
      </c>
      <c r="BH13" s="140">
        <f>SUBTOTAL(9,BH8:BH12)</f>
        <v>66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18669</v>
      </c>
      <c r="J15" s="183">
        <v>122849</v>
      </c>
      <c r="K15" s="183">
        <v>122511</v>
      </c>
      <c r="L15" s="183">
        <v>22021</v>
      </c>
      <c r="M15" s="183">
        <v>21431</v>
      </c>
      <c r="N15" s="183">
        <v>63796</v>
      </c>
      <c r="O15" s="181">
        <v>6134</v>
      </c>
      <c r="P15" s="183">
        <v>10322</v>
      </c>
      <c r="Q15" s="183">
        <v>10935</v>
      </c>
      <c r="R15" s="183">
        <v>4194</v>
      </c>
      <c r="S15" s="183">
        <v>14784</v>
      </c>
      <c r="T15" s="183">
        <v>111915</v>
      </c>
      <c r="U15" s="183">
        <v>110299</v>
      </c>
      <c r="V15" s="183">
        <v>18669</v>
      </c>
      <c r="W15" s="183">
        <v>20674</v>
      </c>
      <c r="X15" s="189">
        <v>57107</v>
      </c>
      <c r="Y15" s="202">
        <v>0</v>
      </c>
      <c r="Z15" s="183">
        <v>0</v>
      </c>
      <c r="AA15" s="183">
        <v>0</v>
      </c>
      <c r="AB15" s="183">
        <v>0</v>
      </c>
      <c r="AC15" s="183">
        <v>261</v>
      </c>
      <c r="AD15" s="183">
        <v>15358</v>
      </c>
      <c r="AE15" s="183">
        <v>15433</v>
      </c>
      <c r="AF15" s="189">
        <v>186</v>
      </c>
      <c r="AG15" s="202">
        <v>0</v>
      </c>
      <c r="AH15" s="183">
        <v>0</v>
      </c>
      <c r="AI15" s="183">
        <v>0</v>
      </c>
      <c r="AJ15" s="203">
        <v>0</v>
      </c>
      <c r="AK15" s="182">
        <v>319</v>
      </c>
      <c r="AL15" s="183">
        <v>17715</v>
      </c>
      <c r="AM15" s="183">
        <v>17773</v>
      </c>
      <c r="AN15" s="189">
        <v>261</v>
      </c>
      <c r="AO15" s="259">
        <v>33</v>
      </c>
      <c r="AP15" s="155">
        <v>33</v>
      </c>
      <c r="AQ15" s="155">
        <v>33</v>
      </c>
      <c r="AR15" s="155">
        <v>33</v>
      </c>
      <c r="AS15" s="340" t="s">
        <v>527</v>
      </c>
      <c r="AT15" s="203" t="s">
        <v>326</v>
      </c>
      <c r="AU15" s="202"/>
      <c r="AV15" s="203"/>
      <c r="AW15" s="202"/>
      <c r="AX15" s="203"/>
      <c r="AY15" s="128">
        <f t="shared" ref="AY15:BB16" si="9">IF(ISNUMBER(IF(D_I="SI",S15,S15+AK15)),IF(D_I="SI",S15,S15+AK15)," - ")</f>
        <v>14784</v>
      </c>
      <c r="AZ15" s="129">
        <f t="shared" si="9"/>
        <v>111915</v>
      </c>
      <c r="BA15" s="129">
        <f t="shared" si="9"/>
        <v>110299</v>
      </c>
      <c r="BB15" s="129">
        <f t="shared" si="9"/>
        <v>18669</v>
      </c>
      <c r="BC15" s="125">
        <f>IF(ISNUMBER(W15),W15," - ")</f>
        <v>20674</v>
      </c>
      <c r="BD15" s="126">
        <f>IF(ISNUMBER(BA15/AZ15),BA15/AZ15," - ")</f>
        <v>0.98556046999955327</v>
      </c>
      <c r="BE15" s="127">
        <f>IF(ISNUMBER(BB15/BA15),BB15/BA15, " - ")</f>
        <v>0.16925810750777431</v>
      </c>
      <c r="BF15" s="127">
        <f>IF(ISNUMBER(BC15/BA15),BC15/BA15, " - ")</f>
        <v>0.18743596950108343</v>
      </c>
      <c r="BG15" s="196">
        <f t="shared" ref="BG15:BG16" si="10">IF(ISNUMBER((AY15+AZ15)/BA15),(AY15+AZ15)/BA15," - ")</f>
        <v>1.1486867514664685</v>
      </c>
      <c r="BH15" s="155">
        <v>33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1803</v>
      </c>
      <c r="J17" s="183">
        <v>7548</v>
      </c>
      <c r="K17" s="183">
        <v>7768</v>
      </c>
      <c r="L17" s="183">
        <v>1692</v>
      </c>
      <c r="M17" s="183">
        <v>177</v>
      </c>
      <c r="N17" s="183">
        <v>4473</v>
      </c>
      <c r="O17" s="183">
        <v>12</v>
      </c>
      <c r="P17" s="183">
        <v>25</v>
      </c>
      <c r="Q17" s="183">
        <v>32</v>
      </c>
      <c r="R17" s="183">
        <v>12</v>
      </c>
      <c r="S17" s="183">
        <v>1438</v>
      </c>
      <c r="T17" s="183">
        <v>7649</v>
      </c>
      <c r="U17" s="183">
        <v>7335</v>
      </c>
      <c r="V17" s="183">
        <v>1803</v>
      </c>
      <c r="W17" s="183">
        <v>130</v>
      </c>
      <c r="X17" s="189">
        <v>4511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5</v>
      </c>
      <c r="AP17" s="155">
        <v>5</v>
      </c>
      <c r="AQ17" s="154">
        <v>5</v>
      </c>
      <c r="AR17" s="155">
        <v>5</v>
      </c>
      <c r="AS17" s="339" t="s">
        <v>792</v>
      </c>
      <c r="AT17" s="209"/>
      <c r="AU17" s="200"/>
      <c r="AV17" s="209"/>
      <c r="AW17" s="200"/>
      <c r="AX17" s="209"/>
      <c r="AY17" s="128">
        <f t="shared" ref="AY17:BB17" si="14">IF(ISNUMBER(S17),S17," - ")</f>
        <v>1438</v>
      </c>
      <c r="AZ17" s="129">
        <f t="shared" si="14"/>
        <v>7649</v>
      </c>
      <c r="BA17" s="129">
        <f t="shared" si="14"/>
        <v>7335</v>
      </c>
      <c r="BB17" s="129">
        <f t="shared" si="14"/>
        <v>1803</v>
      </c>
      <c r="BC17" s="125">
        <f>IF(ISNUMBER(W17),W17," - ")</f>
        <v>130</v>
      </c>
      <c r="BD17" s="126">
        <f>IF(ISNUMBER(BA17/AZ17),BA17/AZ17," - ")</f>
        <v>0.95894888220682439</v>
      </c>
      <c r="BE17" s="127">
        <f>IF(ISNUMBER(BB17/BA17),BB17/BA17, " - ")</f>
        <v>0.2458077709611452</v>
      </c>
      <c r="BF17" s="127">
        <f>IF(ISNUMBER(BC17/BA17),BC17/BA17, " - ")</f>
        <v>1.7723244717109749E-2</v>
      </c>
      <c r="BG17" s="196">
        <f>IF(ISNUMBER((AY17+AZ17)/BA17),(AY17+AZ17)/BA17," - ")</f>
        <v>1.2388548057259714</v>
      </c>
      <c r="BH17" s="155">
        <v>5</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20472</v>
      </c>
      <c r="J18" s="184">
        <f t="shared" si="15"/>
        <v>130397</v>
      </c>
      <c r="K18" s="184">
        <f t="shared" si="15"/>
        <v>130279</v>
      </c>
      <c r="L18" s="184">
        <f t="shared" si="15"/>
        <v>23713</v>
      </c>
      <c r="M18" s="184">
        <f t="shared" si="15"/>
        <v>21608</v>
      </c>
      <c r="N18" s="184">
        <f t="shared" si="15"/>
        <v>68269</v>
      </c>
      <c r="O18" s="184">
        <f t="shared" si="15"/>
        <v>6146</v>
      </c>
      <c r="P18" s="184">
        <f t="shared" si="15"/>
        <v>10347</v>
      </c>
      <c r="Q18" s="184">
        <f t="shared" si="15"/>
        <v>10967</v>
      </c>
      <c r="R18" s="184">
        <f t="shared" si="15"/>
        <v>4206</v>
      </c>
      <c r="S18" s="184">
        <f t="shared" si="15"/>
        <v>16222</v>
      </c>
      <c r="T18" s="184">
        <f t="shared" si="15"/>
        <v>119564</v>
      </c>
      <c r="U18" s="184">
        <f t="shared" si="15"/>
        <v>117634</v>
      </c>
      <c r="V18" s="184">
        <f t="shared" si="15"/>
        <v>20472</v>
      </c>
      <c r="W18" s="184">
        <f t="shared" si="15"/>
        <v>20804</v>
      </c>
      <c r="X18" s="184">
        <f t="shared" si="15"/>
        <v>61618</v>
      </c>
      <c r="Y18" s="184">
        <f t="shared" si="15"/>
        <v>0</v>
      </c>
      <c r="Z18" s="184">
        <f t="shared" si="15"/>
        <v>0</v>
      </c>
      <c r="AA18" s="184">
        <f t="shared" si="15"/>
        <v>0</v>
      </c>
      <c r="AB18" s="184">
        <f t="shared" si="15"/>
        <v>0</v>
      </c>
      <c r="AC18" s="184">
        <f t="shared" si="15"/>
        <v>261</v>
      </c>
      <c r="AD18" s="184">
        <f t="shared" si="15"/>
        <v>15358</v>
      </c>
      <c r="AE18" s="184">
        <f t="shared" si="15"/>
        <v>15433</v>
      </c>
      <c r="AF18" s="184">
        <f t="shared" si="15"/>
        <v>186</v>
      </c>
      <c r="AG18" s="184">
        <f t="shared" si="15"/>
        <v>0</v>
      </c>
      <c r="AH18" s="184">
        <f t="shared" si="15"/>
        <v>0</v>
      </c>
      <c r="AI18" s="184">
        <f t="shared" si="15"/>
        <v>0</v>
      </c>
      <c r="AJ18" s="184">
        <f t="shared" si="15"/>
        <v>0</v>
      </c>
      <c r="AK18" s="184">
        <f t="shared" si="15"/>
        <v>319</v>
      </c>
      <c r="AL18" s="184">
        <f t="shared" si="15"/>
        <v>17715</v>
      </c>
      <c r="AM18" s="184">
        <f t="shared" si="15"/>
        <v>17773</v>
      </c>
      <c r="AN18" s="184">
        <f t="shared" si="15"/>
        <v>261</v>
      </c>
      <c r="AO18" s="184">
        <f t="shared" si="15"/>
        <v>38</v>
      </c>
      <c r="AP18" s="184">
        <f t="shared" si="15"/>
        <v>38</v>
      </c>
      <c r="AQ18" s="184">
        <f t="shared" si="15"/>
        <v>38</v>
      </c>
      <c r="AR18" s="184">
        <f t="shared" si="15"/>
        <v>38</v>
      </c>
      <c r="AS18" s="184">
        <f t="shared" si="15"/>
        <v>0</v>
      </c>
      <c r="AT18" s="184">
        <f t="shared" si="15"/>
        <v>0</v>
      </c>
      <c r="AU18" s="204"/>
      <c r="AV18" s="132"/>
      <c r="AW18" s="204"/>
      <c r="AX18" s="132"/>
      <c r="AY18" s="184">
        <f>SUBTOTAL(9,AY14:AY17)</f>
        <v>16222</v>
      </c>
      <c r="AZ18" s="184">
        <f>SUBTOTAL(9,AZ14:AZ17)</f>
        <v>119564</v>
      </c>
      <c r="BA18" s="184">
        <f>SUBTOTAL(9,BA14:BA17)</f>
        <v>117634</v>
      </c>
      <c r="BB18" s="184">
        <f>SUBTOTAL(9,BB14:BB17)</f>
        <v>20472</v>
      </c>
      <c r="BC18" s="184">
        <f>SUBTOTAL(9,BC14:BC17)</f>
        <v>20804</v>
      </c>
      <c r="BD18" s="205">
        <f>IF(ISNUMBER(BA18/AZ18),BA18/AZ18," - ")</f>
        <v>0.98385801746345058</v>
      </c>
      <c r="BE18" s="206">
        <f>IF(ISNUMBER(BB18/BA18),BB18/BA18, " - ")</f>
        <v>0.17403131747623987</v>
      </c>
      <c r="BF18" s="206">
        <f>IF(ISNUMBER(BC18/BA18),BC18/BA18, " - ")</f>
        <v>0.17685363075301358</v>
      </c>
      <c r="BG18" s="207">
        <f>IF(ISNUMBER((AY18+AZ18)/BA18),(AY18+AZ18)/BA18," - ")</f>
        <v>1.1543091283132427</v>
      </c>
      <c r="BH18" s="184">
        <f>SUBTOTAL(9,BH14:BH17)</f>
        <v>38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76081</v>
      </c>
      <c r="J19" s="134">
        <f t="shared" si="18"/>
        <v>235422</v>
      </c>
      <c r="K19" s="134">
        <f t="shared" si="18"/>
        <v>233408</v>
      </c>
      <c r="L19" s="134">
        <f t="shared" si="18"/>
        <v>81649</v>
      </c>
      <c r="M19" s="134">
        <f t="shared" si="18"/>
        <v>52550</v>
      </c>
      <c r="N19" s="134">
        <f t="shared" si="18"/>
        <v>117479</v>
      </c>
      <c r="O19" s="134">
        <f t="shared" si="18"/>
        <v>47688</v>
      </c>
      <c r="P19" s="134">
        <f t="shared" si="18"/>
        <v>31583</v>
      </c>
      <c r="Q19" s="134">
        <f t="shared" si="18"/>
        <v>38515</v>
      </c>
      <c r="R19" s="134">
        <f t="shared" si="18"/>
        <v>81360</v>
      </c>
      <c r="S19" s="134">
        <f t="shared" si="18"/>
        <v>68218</v>
      </c>
      <c r="T19" s="134">
        <f t="shared" si="18"/>
        <v>216979</v>
      </c>
      <c r="U19" s="134">
        <f t="shared" si="18"/>
        <v>212559</v>
      </c>
      <c r="V19" s="134">
        <f t="shared" si="18"/>
        <v>75996</v>
      </c>
      <c r="W19" s="134">
        <f t="shared" si="18"/>
        <v>48663</v>
      </c>
      <c r="X19" s="134">
        <f t="shared" si="18"/>
        <v>105070</v>
      </c>
      <c r="Y19" s="134">
        <f t="shared" si="18"/>
        <v>1190</v>
      </c>
      <c r="Z19" s="134">
        <f t="shared" si="18"/>
        <v>7024</v>
      </c>
      <c r="AA19" s="134">
        <f t="shared" si="18"/>
        <v>7409</v>
      </c>
      <c r="AB19" s="134">
        <f t="shared" si="18"/>
        <v>840</v>
      </c>
      <c r="AC19" s="134">
        <f t="shared" si="18"/>
        <v>261</v>
      </c>
      <c r="AD19" s="134">
        <f t="shared" si="18"/>
        <v>15358</v>
      </c>
      <c r="AE19" s="134">
        <f t="shared" si="18"/>
        <v>15433</v>
      </c>
      <c r="AF19" s="134">
        <f t="shared" si="18"/>
        <v>186</v>
      </c>
      <c r="AG19" s="134">
        <f t="shared" si="18"/>
        <v>2119</v>
      </c>
      <c r="AH19" s="134">
        <f t="shared" si="18"/>
        <v>8960</v>
      </c>
      <c r="AI19" s="134">
        <f t="shared" si="18"/>
        <v>8859</v>
      </c>
      <c r="AJ19" s="134">
        <f t="shared" si="18"/>
        <v>1190</v>
      </c>
      <c r="AK19" s="134">
        <f t="shared" si="18"/>
        <v>319</v>
      </c>
      <c r="AL19" s="134">
        <f t="shared" si="18"/>
        <v>17715</v>
      </c>
      <c r="AM19" s="134">
        <f t="shared" si="18"/>
        <v>17773</v>
      </c>
      <c r="AN19" s="210">
        <f t="shared" si="18"/>
        <v>261</v>
      </c>
      <c r="AO19" s="211">
        <v>100</v>
      </c>
      <c r="AP19" s="211">
        <v>100</v>
      </c>
      <c r="AQ19" s="211">
        <v>100</v>
      </c>
      <c r="AR19" s="211">
        <v>100</v>
      </c>
      <c r="AS19" s="153">
        <f t="shared" si="18"/>
        <v>0</v>
      </c>
      <c r="AT19" s="153">
        <f t="shared" si="18"/>
        <v>0</v>
      </c>
      <c r="AU19" s="211"/>
      <c r="AV19" s="212"/>
      <c r="AW19" s="211"/>
      <c r="AX19" s="212"/>
      <c r="AY19" s="133">
        <f>SUBTOTAL(9,AY9:AY18)</f>
        <v>70337</v>
      </c>
      <c r="AZ19" s="134">
        <f>SUBTOTAL(9,AZ9:AZ18)</f>
        <v>225939</v>
      </c>
      <c r="BA19" s="134">
        <f>SUBTOTAL(9,BA9:BA18)</f>
        <v>221418</v>
      </c>
      <c r="BB19" s="134">
        <f>SUBTOTAL(9,BB9:BB18)</f>
        <v>77186</v>
      </c>
      <c r="BC19" s="135">
        <f>SUBTOTAL(9,BC9:BC18)</f>
        <v>64239</v>
      </c>
      <c r="BD19" s="213">
        <f>IF(ISNUMBER(BA19/AZ19),BA19/AZ19," - ")</f>
        <v>0.97999017433909152</v>
      </c>
      <c r="BE19" s="210">
        <f>IF(ISNUMBER(BB19/BA19),BB19/BA19, " - ")</f>
        <v>0.34859857825470375</v>
      </c>
      <c r="BF19" s="210">
        <f>IF(ISNUMBER(BC19/BA19),BC19/BA19, " - ")</f>
        <v>0.29012546405441292</v>
      </c>
      <c r="BG19" s="135">
        <f>IF(ISNUMBER((AY19+AZ19)/BA19),(AY19+AZ19)/BA19," - ")</f>
        <v>1.3380845279064937</v>
      </c>
      <c r="BH19" s="211">
        <f>SUBTOTAL(9,BH9:BH18)</f>
        <v>104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6Nmszuycz5k3txGRNktiNOLD5OJF+Kpm29STgWn1+E8MAYvfqf98JQrc0OmTmiyHEYrPvE9YNtiEMQNn2teuQ==" saltValue="/H11BVynGYu7fo7uMs1ja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gHvdlF3EL1fiImxfSrgsS0kRmvtCnyQxLxDmMKDOJCTi6bdAMpnHBLE/jKrVaGDSMFE42oEIPn53/l39Xzixg==" saltValue="uIkbZcRDMubOLFWsEeqqQ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BARCELONA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54</v>
      </c>
      <c r="B9" s="501" t="s">
        <v>246</v>
      </c>
      <c r="C9" s="160" t="str">
        <f>Datos!A9</f>
        <v xml:space="preserve">Jdos. 1ª Instancia   </v>
      </c>
      <c r="D9" s="502"/>
      <c r="E9" s="260">
        <f>IF(ISNUMBER(Datos!AQ9),Datos!AQ9," - ")</f>
        <v>54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6577</v>
      </c>
      <c r="O9" s="334"/>
      <c r="P9" s="334"/>
      <c r="Q9" s="226">
        <f>IF(ISNUMBER(Datos!P9),Datos!P9,0)</f>
        <v>20098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25584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707</v>
      </c>
      <c r="AI9" s="334" t="str">
        <f>IF(ISNUMBER(Datos!CD9),Datos!CD9,"-")</f>
        <v>-</v>
      </c>
      <c r="AJ9" s="334" t="str">
        <f>IF(ISNUMBER(Datos!EN9),Datos!EN9," - ")</f>
        <v xml:space="preserve"> - </v>
      </c>
      <c r="AK9" s="334"/>
      <c r="AL9" s="479"/>
      <c r="AM9" s="335">
        <f>IF(ISNUMBER(Datos!R9),Datos!R9," - ")</f>
        <v>73644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27173</v>
      </c>
      <c r="BD9" s="229">
        <f>IF(ISNUMBER(Datos!N9),Datos!N9," - ")</f>
        <v>46574</v>
      </c>
      <c r="BE9" s="229" t="str">
        <f>IF(ISNUMBER(Datos!BW9),Datos!BW9," - ")</f>
        <v xml:space="preserve"> - </v>
      </c>
      <c r="BF9" s="228" t="str">
        <f>IF(ISNUMBER(Datos!BX9),Datos!BX9," - ")</f>
        <v xml:space="preserve"> - </v>
      </c>
      <c r="BG9" s="243">
        <f>IF(ISNUMBER(IF(J_V="SI",Datos!K9/Datos!J9,(Datos!K9+Datos!AA9)/(Datos!J9+Datos!Z9))),IF(J_V="SI",Datos!K9/Datos!J9,(Datos!K9+Datos!AA9)/(Datos!J9+Datos!Z9))," - ")</f>
        <v>0.98433059449009186</v>
      </c>
      <c r="BH9" s="260">
        <f>IF(ISNUMBER(((IF(J_V="SI",Datos!L9/Datos!K9,(Datos!L9+Datos!AB9)/(Datos!K9+Datos!AA9)))*11)/factor_trimestre),((IF(J_V="SI",Datos!L9/Datos!K9,(Datos!L9+Datos!AB9)/(Datos!K9+Datos!AA9)))*11)/factor_trimestre," - ")</f>
        <v>5.9773050899056264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-6.9328952356881079E-2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5</v>
      </c>
      <c r="B10" s="507" t="s">
        <v>246</v>
      </c>
      <c r="C10" s="7" t="str">
        <f>Datos!A10</f>
        <v>Jdos. Violencia contra la mujer</v>
      </c>
      <c r="D10" s="508"/>
      <c r="E10" s="260">
        <f>IF(ISNUMBER(Datos!AQ10),Datos!AQ10," - ")</f>
        <v>5</v>
      </c>
      <c r="F10" s="225">
        <f>IF(ISNUMBER(Datos!L10+Datos!K10-Datos!J10),Datos!L10+Datos!K10-Datos!J10," - ")</f>
        <v>526</v>
      </c>
      <c r="G10" s="333">
        <f>IF(ISNUMBER(Datos!I10),Datos!I10," - ")</f>
        <v>526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219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916</v>
      </c>
      <c r="AC10" s="226">
        <f>IF(ISNUMBER(Datos!Q10),Datos!Q10," - ")</f>
        <v>213</v>
      </c>
      <c r="AD10" s="334"/>
      <c r="AE10" s="484"/>
      <c r="AF10" s="332">
        <f>IF(ISNUMBER(Datos!L10),Datos!L10,"-")</f>
        <v>480</v>
      </c>
      <c r="AG10" s="334"/>
      <c r="AH10" s="334"/>
      <c r="AI10" s="334"/>
      <c r="AJ10" s="334"/>
      <c r="AK10" s="334"/>
      <c r="AL10" s="479"/>
      <c r="AM10" s="335">
        <f>IF(ISNUMBER(Datos!R10),Datos!R10," - ")</f>
        <v>592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331</v>
      </c>
      <c r="BD10" s="229">
        <f>IF(ISNUMBER(Datos!N10),Datos!N10," - ")</f>
        <v>368</v>
      </c>
      <c r="BE10" s="229" t="str">
        <f>IF(ISNUMBER(Datos!BW10),Datos!BW10," - ")</f>
        <v xml:space="preserve"> - </v>
      </c>
      <c r="BF10" s="228" t="str">
        <f>IF(ISNUMBER(Datos!BX10),Datos!BX10," - ")</f>
        <v xml:space="preserve"> - </v>
      </c>
      <c r="BG10" s="243">
        <f>IF(ISNUMBER(Datos!K10/Datos!J10),Datos!K10/Datos!J10," - ")</f>
        <v>1.0528735632183908</v>
      </c>
      <c r="BH10" s="260">
        <f>IF(ISNUMBER(((Datos!L10/Datos!K10)*11)/factor_trimestre),((Datos!L10/Datos!K10)*11)/factor_trimestre," - ")</f>
        <v>5.7641921397379914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1.0238907849829351E-2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8</v>
      </c>
      <c r="B11" s="507" t="s">
        <v>246</v>
      </c>
      <c r="C11" s="7" t="str">
        <f>Datos!A11</f>
        <v xml:space="preserve">Jdos. Familia                                   </v>
      </c>
      <c r="D11" s="508"/>
      <c r="E11" s="260">
        <f>IF(ISNUMBER(Datos!AQ11),Datos!AQ11," - ")</f>
        <v>8</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447</v>
      </c>
      <c r="O11" s="334"/>
      <c r="P11" s="334"/>
      <c r="Q11" s="226">
        <f>IF(ISNUMBER(Datos!P11),Datos!P11,0)</f>
        <v>919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1751</v>
      </c>
      <c r="AD11" s="334"/>
      <c r="AE11" s="484"/>
      <c r="AF11" s="332" t="str">
        <f>IF(ISNUMBER(IF(J_V="SI",Datos!L11,Datos!L11+Datos!AB11)-IF(Monitorios="SI",Datos!CD11,0)),
                          IF(J_V="SI",Datos!L11,Datos!L11+Datos!AB11)-IF(Monitorios="SI",Datos!CD11,0),
                          " - ")</f>
        <v xml:space="preserve"> - </v>
      </c>
      <c r="AG11" s="334"/>
      <c r="AH11" s="334">
        <f>IF(ISNUMBER(Datos!AB11),Datos!AB11,"-")</f>
        <v>133</v>
      </c>
      <c r="AI11" s="334"/>
      <c r="AJ11" s="334"/>
      <c r="AK11" s="334"/>
      <c r="AL11" s="479"/>
      <c r="AM11" s="335">
        <f>IF(ISNUMBER(Datos!R11),Datos!R11," - ")</f>
        <v>2918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3438</v>
      </c>
      <c r="BD11" s="229">
        <f>IF(ISNUMBER(Datos!N11),Datos!N11," - ")</f>
        <v>2268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1.0082805020054342</v>
      </c>
      <c r="BH11" s="260">
        <f>IF(ISNUMBER(((IF(J_V="SI",Datos!L11/Datos!K11,(Datos!L11+Datos!AB11)/(Datos!K11+Datos!AA11)))*11)/factor_trimestre),((IF(J_V="SI",Datos!L11/Datos!K11,(Datos!L11+Datos!AB11)/(Datos!K11+Datos!AA11)))*11)/factor_trimestre," - ")</f>
        <v>4.1823431284486077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-0.22186666666666666</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67</v>
      </c>
      <c r="F13" s="898">
        <f t="shared" si="0"/>
        <v>526</v>
      </c>
      <c r="G13" s="898">
        <f t="shared" si="0"/>
        <v>526</v>
      </c>
      <c r="H13" s="899">
        <f t="shared" si="0"/>
        <v>0</v>
      </c>
      <c r="I13" s="898">
        <f t="shared" si="0"/>
        <v>0</v>
      </c>
      <c r="J13" s="867">
        <f t="shared" si="0"/>
        <v>0</v>
      </c>
      <c r="K13" s="867">
        <f t="shared" si="0"/>
        <v>0</v>
      </c>
      <c r="L13" s="899">
        <f t="shared" si="0"/>
        <v>0</v>
      </c>
      <c r="M13" s="899">
        <f t="shared" si="0"/>
        <v>0</v>
      </c>
      <c r="N13" s="899">
        <f t="shared" si="0"/>
        <v>7024</v>
      </c>
      <c r="O13" s="900">
        <f t="shared" si="0"/>
        <v>0</v>
      </c>
      <c r="P13" s="900">
        <f t="shared" si="0"/>
        <v>0</v>
      </c>
      <c r="Q13" s="899">
        <f t="shared" si="0"/>
        <v>21236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916</v>
      </c>
      <c r="AC13" s="899">
        <f t="shared" si="1"/>
        <v>27548</v>
      </c>
      <c r="AD13" s="899">
        <f t="shared" si="1"/>
        <v>0</v>
      </c>
      <c r="AE13" s="899">
        <f t="shared" si="1"/>
        <v>0</v>
      </c>
      <c r="AF13" s="899">
        <f t="shared" si="1"/>
        <v>480</v>
      </c>
      <c r="AG13" s="899">
        <f t="shared" si="1"/>
        <v>0</v>
      </c>
      <c r="AH13" s="899">
        <f t="shared" si="1"/>
        <v>840</v>
      </c>
      <c r="AI13" s="899">
        <f t="shared" si="1"/>
        <v>0</v>
      </c>
      <c r="AJ13" s="899">
        <f t="shared" si="1"/>
        <v>0</v>
      </c>
      <c r="AK13" s="899">
        <f t="shared" si="1"/>
        <v>0</v>
      </c>
      <c r="AL13" s="899">
        <f t="shared" si="1"/>
        <v>0</v>
      </c>
      <c r="AM13" s="899">
        <f t="shared" si="1"/>
        <v>77154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30942</v>
      </c>
      <c r="BD13" s="899">
        <f t="shared" si="1"/>
        <v>49210</v>
      </c>
      <c r="BE13" s="899">
        <f t="shared" si="1"/>
        <v>0</v>
      </c>
      <c r="BF13" s="899">
        <f t="shared" si="1"/>
        <v>0</v>
      </c>
      <c r="BG13" s="899">
        <f>IF(ISNUMBER(Datos!K13/Datos!J13),Datos!K13/Datos!J13," - ")</f>
        <v>0.9819471554391811</v>
      </c>
      <c r="BH13" s="903">
        <f>IF(ISNUMBER(((Datos!L13/Datos!K13)*11)/factor_trimestre),((Datos!L13/Datos!K13)*11)/factor_trimestre," - ")</f>
        <v>6.1796003064123575</v>
      </c>
      <c r="BI13" s="899">
        <f>IF(ISNUMBER('Resol  Asuntos'!D13/NºAsuntos!G13),'Resol  Asuntos'!D13/NºAsuntos!G13," - ")</f>
        <v>0.27992183683439181</v>
      </c>
      <c r="BJ13" s="899" t="str">
        <f>IF(ISNUMBER(Datos!CI13/Datos!CJ13),Datos!CI13/Datos!CJ13," - ")</f>
        <v xml:space="preserve"> - </v>
      </c>
      <c r="BK13" s="899">
        <f>SUBTOTAL(9,BK8:BK12)</f>
        <v>0</v>
      </c>
      <c r="BL13" s="899">
        <f>IF(ISNUMBER((I13-AB13+L13)/(F13)),(I13-AB13+L13)/(F13)," - ")</f>
        <v>-1.7414448669201521</v>
      </c>
      <c r="BM13" s="904">
        <f>SUBTOTAL(9,BM9:BM12)</f>
        <v>-0.2809567111737184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33</v>
      </c>
      <c r="B15" s="594" t="s">
        <v>396</v>
      </c>
      <c r="C15" s="600" t="str">
        <f>Datos!A15</f>
        <v xml:space="preserve">Jdos. Instrucción                               </v>
      </c>
      <c r="D15" s="601"/>
      <c r="E15" s="1165">
        <f>IF(ISNUMBER(Datos!AQ15),Datos!AQ15," - ")</f>
        <v>33</v>
      </c>
      <c r="F15" s="595">
        <f>IF(ISNUMBER(AF15+AB15-Datos!J15-L15),AF15+AB15-Datos!J15-L15," - ")</f>
        <v>21683</v>
      </c>
      <c r="G15" s="598">
        <f>IF(ISNUMBER(IF(D_I="SI",Datos!I15,Datos!I15+Datos!AC15)),IF(D_I="SI",Datos!I15,Datos!I15+Datos!AC15)," - ")</f>
        <v>18669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10322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122511</v>
      </c>
      <c r="AC15" s="226">
        <f>IF(ISNUMBER(Datos!Q15),Datos!Q15," - ")</f>
        <v>10935</v>
      </c>
      <c r="AD15" s="334"/>
      <c r="AE15" s="484"/>
      <c r="AF15" s="596">
        <f>IF(ISNUMBER(IF(D_I="SI",Datos!L15,Datos!L15+Datos!AF15)),IF(D_I="SI",Datos!L15,Datos!L15+Datos!AF15)," - ")</f>
        <v>22021</v>
      </c>
      <c r="AG15" s="334"/>
      <c r="AH15" s="334"/>
      <c r="AI15" s="334"/>
      <c r="AJ15" s="334"/>
      <c r="AK15" s="334"/>
      <c r="AL15" s="479"/>
      <c r="AM15" s="335">
        <f>IF(ISNUMBER(Datos!R15),Datos!R15," - ")</f>
        <v>4194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21431</v>
      </c>
      <c r="BD15" s="229">
        <f>IF(ISNUMBER(Datos!N15),Datos!N15," - ")</f>
        <v>63796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0.99724865485270531</v>
      </c>
      <c r="BH15" s="260">
        <f>IF(ISNUMBER(((IF(D_I="SI",Datos!L15/Datos!K15,(Datos!L15+Datos!AF15)/(Datos!K15+Datos!AE15)))*11)/factor_trimestre),((IF(D_I="SI",Datos!L15/Datos!K15,(Datos!L15+Datos!AF15)/(Datos!K15+Datos!AE15)))*11)/factor_trimestre," - ")</f>
        <v>1.9772183722278001</v>
      </c>
      <c r="BI15" s="243">
        <f>IF(ISNUMBER('Resol  Asuntos'!D15/NºAsuntos!G15),'Resol  Asuntos'!D15/NºAsuntos!G15," - ")</f>
        <v>0.17493123066500152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5</v>
      </c>
      <c r="B17" s="507" t="s">
        <v>396</v>
      </c>
      <c r="C17" s="7" t="str">
        <f>Datos!A17</f>
        <v>Jdos. Violencia contra la mujer</v>
      </c>
      <c r="D17" s="508"/>
      <c r="E17" s="1025">
        <f>IF(ISNUMBER(Datos!AQ17),Datos!AQ17," - ")</f>
        <v>5</v>
      </c>
      <c r="F17" s="225" t="str">
        <f>IF(ISNUMBER(AF17+AB17-I17-L17),AF17+AB17-I17-L17," - ")</f>
        <v xml:space="preserve"> - </v>
      </c>
      <c r="G17" s="333">
        <f>IF(ISNUMBER(IF(D_I="SI",Datos!I17,Datos!I17+Datos!AC17)),IF(D_I="SI",Datos!I17,Datos!I17+Datos!AC17)," - ")</f>
        <v>1803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7768</v>
      </c>
      <c r="AC17" s="226">
        <f>IF(ISNUMBER(Datos!Q17),Datos!Q17," - ")</f>
        <v>32</v>
      </c>
      <c r="AD17" s="334"/>
      <c r="AE17" s="484"/>
      <c r="AF17" s="332">
        <f>IF(ISNUMBER(Datos!L17),Datos!L17,"-")</f>
        <v>1692</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177</v>
      </c>
      <c r="BD17" s="229">
        <f>IF(ISNUMBER(Datos!N17),Datos!N17," - ")</f>
        <v>4473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1.0291467938526762</v>
      </c>
      <c r="BH17" s="260">
        <f>IF(ISNUMBER(((IF(D_I="SI",Datos!L17/Datos!K17,(Datos!L17+Datos!AF17)/(Datos!K17+Datos!AE17)))*11)/factor_trimestre),((IF(D_I="SI",Datos!L17/Datos!K17,(Datos!L17+Datos!AF17)/(Datos!K17+Datos!AE17)))*11)/factor_trimestre," - ")</f>
        <v>2.3959835221421213</v>
      </c>
      <c r="BI17" s="243">
        <f>IF(ISNUMBER('Resol  Asuntos'!D17/NºAsuntos!G17),'Resol  Asuntos'!D17/NºAsuntos!G17," - ")</f>
        <v>2.2785787847579814E-2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38</v>
      </c>
      <c r="F18" s="898">
        <f>SUBTOTAL(9,F15:F17)</f>
        <v>21683</v>
      </c>
      <c r="G18" s="898">
        <f>SUBTOTAL(9,G15:G17)</f>
        <v>20472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10347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130279</v>
      </c>
      <c r="AC18" s="899">
        <f t="shared" si="4"/>
        <v>10967</v>
      </c>
      <c r="AD18" s="899">
        <f t="shared" si="4"/>
        <v>0</v>
      </c>
      <c r="AE18" s="899">
        <f t="shared" si="4"/>
        <v>0</v>
      </c>
      <c r="AF18" s="899">
        <f t="shared" si="4"/>
        <v>23713</v>
      </c>
      <c r="AG18" s="899">
        <f t="shared" si="4"/>
        <v>0</v>
      </c>
      <c r="AH18" s="899">
        <f t="shared" si="4"/>
        <v>0</v>
      </c>
      <c r="AI18" s="899">
        <f t="shared" si="4"/>
        <v>0</v>
      </c>
      <c r="AJ18" s="899">
        <f t="shared" si="4"/>
        <v>0</v>
      </c>
      <c r="AK18" s="899">
        <f t="shared" si="4"/>
        <v>0</v>
      </c>
      <c r="AL18" s="899">
        <f t="shared" si="4"/>
        <v>0</v>
      </c>
      <c r="AM18" s="899">
        <f t="shared" si="4"/>
        <v>4206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21608</v>
      </c>
      <c r="BD18" s="899">
        <f t="shared" si="4"/>
        <v>68269</v>
      </c>
      <c r="BE18" s="899">
        <f t="shared" si="4"/>
        <v>0</v>
      </c>
      <c r="BF18" s="899">
        <f t="shared" si="4"/>
        <v>0</v>
      </c>
      <c r="BG18" s="899">
        <f>IF(ISNUMBER(Datos!K18/Datos!J18),Datos!K18/Datos!J18," - ")</f>
        <v>0.99909507120562591</v>
      </c>
      <c r="BH18" s="903">
        <f>IF(ISNUMBER(((Datos!L18/Datos!K18)*11)/factor_trimestre),((Datos!L18/Datos!K18)*11)/factor_trimestre," - ")</f>
        <v>2.0021876127388145</v>
      </c>
      <c r="BI18" s="899">
        <f>SUBTOTAL(9,BI15:BI17)</f>
        <v>0.19771701851258133</v>
      </c>
      <c r="BJ18" s="899">
        <f>SUBTOTAL(9,BJ15:BJ17)</f>
        <v>0</v>
      </c>
      <c r="BK18" s="899">
        <f>SUBTOTAL(9,BK15:BK17)</f>
        <v>0</v>
      </c>
      <c r="BL18" s="899">
        <f>IF(ISNUMBER((I18-AB18+L18)/(F18)),(I18-AB18+L18)/(F18)," - ")</f>
        <v>-6.0083475533828343</v>
      </c>
      <c r="BM18" s="905">
        <f>IF(ISNUMBER((Datos!P18-Datos!Q18)/(Datos!R18-Datos!P18+Datos!Q18)),(Datos!P18-Datos!Q18)/(Datos!R18-Datos!P18+Datos!Q18)," - ")</f>
        <v>-0.12847078325735597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105</v>
      </c>
      <c r="F19" s="820">
        <f t="shared" si="6"/>
        <v>22209</v>
      </c>
      <c r="G19" s="820">
        <f t="shared" si="6"/>
        <v>20998</v>
      </c>
      <c r="H19" s="822">
        <f t="shared" si="6"/>
        <v>0</v>
      </c>
      <c r="I19" s="820">
        <f t="shared" si="6"/>
        <v>0</v>
      </c>
      <c r="J19" s="822">
        <f t="shared" si="6"/>
        <v>0</v>
      </c>
      <c r="K19" s="822">
        <f t="shared" si="6"/>
        <v>0</v>
      </c>
      <c r="L19" s="881">
        <f t="shared" si="6"/>
        <v>0</v>
      </c>
      <c r="M19" s="881">
        <f t="shared" si="6"/>
        <v>0</v>
      </c>
      <c r="N19" s="881">
        <f t="shared" si="6"/>
        <v>7024</v>
      </c>
      <c r="O19" s="881">
        <f t="shared" si="6"/>
        <v>0</v>
      </c>
      <c r="P19" s="881">
        <f t="shared" si="6"/>
        <v>0</v>
      </c>
      <c r="Q19" s="822">
        <f t="shared" si="6"/>
        <v>31583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131195</v>
      </c>
      <c r="AC19" s="821">
        <f t="shared" si="7"/>
        <v>38515</v>
      </c>
      <c r="AD19" s="821">
        <f t="shared" si="7"/>
        <v>0</v>
      </c>
      <c r="AE19" s="821">
        <f t="shared" si="7"/>
        <v>0</v>
      </c>
      <c r="AF19" s="828">
        <f t="shared" si="7"/>
        <v>24193</v>
      </c>
      <c r="AG19" s="828">
        <f t="shared" si="7"/>
        <v>0</v>
      </c>
      <c r="AH19" s="828">
        <f t="shared" si="7"/>
        <v>840</v>
      </c>
      <c r="AI19" s="828">
        <f t="shared" si="7"/>
        <v>0</v>
      </c>
      <c r="AJ19" s="821">
        <f t="shared" si="7"/>
        <v>0</v>
      </c>
      <c r="AK19" s="828">
        <f t="shared" si="7"/>
        <v>0</v>
      </c>
      <c r="AL19" s="828">
        <f t="shared" si="7"/>
        <v>0</v>
      </c>
      <c r="AM19" s="828">
        <f t="shared" si="7"/>
        <v>81360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52550</v>
      </c>
      <c r="BD19" s="820">
        <f t="shared" si="7"/>
        <v>117479</v>
      </c>
      <c r="BE19" s="820">
        <f t="shared" si="7"/>
        <v>0</v>
      </c>
      <c r="BF19" s="830">
        <f t="shared" si="7"/>
        <v>0</v>
      </c>
      <c r="BG19" s="915">
        <f>IF(ISNUMBER(Datos!K19/Datos!J19),Datos!K19/Datos!J19," - ")</f>
        <v>0.99144514956121343</v>
      </c>
      <c r="BH19" s="915">
        <f>IF(ISNUMBER(((Datos!L19/Datos!K19)*11)/factor_trimestre),((Datos!L19/Datos!K19)*11)/factor_trimestre," - ")</f>
        <v>3.8479358034000546</v>
      </c>
      <c r="BI19" s="813">
        <f>IF(ISNUMBER(Datos!J19/Datos!I19),Datos!J19/Datos!I19," - ")</f>
        <v>3.0943599584653199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-5.907289837453285</v>
      </c>
      <c r="BM19" s="889">
        <f>IF(ISNUMBER((Datos!P19-Datos!Q19+R19)/(Datos!R19-Datos!P19+Datos!Q19-R19)),(Datos!P19-Datos!Q19+R19)/(Datos!R19-Datos!P19+Datos!Q19-R19)," - ")</f>
        <v>-7.8512209486703219E-2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8399.2000000000007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25.37715508089904</v>
      </c>
      <c r="F21" s="551">
        <f>IF(ISNUMBER(STDEV(F8:F18)),STDEV(F8:F18),"-")</f>
        <v>12214.999645244912</v>
      </c>
      <c r="G21" s="552">
        <f>IF(ISNUMBER(STDEV(G8:G18)),STDEV(G8:G18),"-")</f>
        <v>10231.149774096752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67590.45879042396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13266.072160644559</v>
      </c>
      <c r="BD21" s="551"/>
      <c r="BE21" s="551">
        <f>IF(ISNUMBER(STDEV(BE8:BE18)),STDEV(BE8:BE18),"-")</f>
        <v>0</v>
      </c>
      <c r="BF21" s="556">
        <f>IF(ISNUMBER(STDEV(BF8:BF18)),STDEV(BF8:BF18),"-")</f>
        <v>0</v>
      </c>
      <c r="BG21" s="775">
        <f>IF(ISNUMBER(STDEV(BG8:BG18)),STDEV(BG8:BG18),"-")</f>
        <v>2.5473612974431726E-2</v>
      </c>
      <c r="BH21" s="776">
        <f>IF(ISNUMBER(STDEV(BH8:BH18)),STDEV(BH8:BH18),"-")</f>
        <v>1.9334352199588991</v>
      </c>
      <c r="BI21" s="249">
        <f>IF(ISNUMBER(STDEV(BI8:BI18)),STDEV(BI8:BI18),"-")</f>
        <v>0.10730329700883783</v>
      </c>
      <c r="BJ21" s="230" t="str">
        <f>IF(ISNUMBER(BL21/BM21),BL21/BM21," - ")</f>
        <v xml:space="preserve"> - </v>
      </c>
      <c r="BK21" s="575"/>
      <c r="BL21" s="559">
        <f>IF(ISNUMBER(STDEV(BL8:BL18)),STDEV(BL8:BL18),"-")</f>
        <v>3.0171558242608598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ymVcLfeBmgcszA9eYk1egKaVtdAb0HgbpeTdKg2YPZXMSRsHJmxAMaCUENHP0MDvZpaQXtiEgkvzPYlvzcAWLg==" saltValue="GNmkWHggYzLw9AS2v8i1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BARCELONA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20098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25584</v>
      </c>
      <c r="AA9" s="332" t="str">
        <f>IF(ISNUMBER(IF(J_V="SI",Datos!L9,Datos!L9+Datos!AB9)-IF(Monitorios="SI",Datos!CD9,0)),
                          IF(J_V="SI",Datos!L9,Datos!L9+Datos!AB9)-IF(Monitorios="SI",Datos!CD9,0),
                          " - ")</f>
        <v xml:space="preserve"> - </v>
      </c>
      <c r="AB9" s="334"/>
      <c r="AC9" s="334"/>
      <c r="AD9" s="484"/>
      <c r="AE9" s="484">
        <f>IF(ISNUMBER(Datos!R9),Datos!R9," - ")</f>
        <v>73644</v>
      </c>
      <c r="AF9" s="229" t="str">
        <f>IF(ISNUMBER(Datos!BV9),Datos!BV9," - ")</f>
        <v xml:space="preserve"> - </v>
      </c>
      <c r="AG9" s="225" t="str">
        <f>IF(ISNUMBER(Datos!DV9),Datos!DV9," - ")</f>
        <v xml:space="preserve"> - </v>
      </c>
      <c r="AH9" s="298"/>
      <c r="AI9" s="227"/>
      <c r="AJ9" s="225">
        <f>IF(ISNUMBER(Datos!M9),Datos!M9," - ")</f>
        <v>27173</v>
      </c>
      <c r="AK9" s="229">
        <f>IF(ISNUMBER(Datos!N9),Datos!N9," - ")</f>
        <v>46574</v>
      </c>
      <c r="AL9" s="229" t="str">
        <f>IF(ISNUMBER(Datos!BW9),Datos!BW9," - ")</f>
        <v xml:space="preserve"> - </v>
      </c>
      <c r="AM9" s="228" t="str">
        <f>IF(ISNUMBER(Datos!BX9),Datos!BX9," - ")</f>
        <v xml:space="preserve"> - </v>
      </c>
      <c r="AN9" s="243"/>
      <c r="AO9" s="260">
        <f>IF(ISNUMBER(((NºAsuntos!I9/NºAsuntos!G9)*11)/factor_trimestre),((NºAsuntos!I9/NºAsuntos!G9)*11)/factor_trimestre," - ")</f>
        <v>5.9773050899056264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-6.9328952356881079E-2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5</v>
      </c>
      <c r="B10" s="507" t="s">
        <v>246</v>
      </c>
      <c r="C10" s="7" t="str">
        <f>Datos!A10</f>
        <v>Jdos. Violencia contra la mujer</v>
      </c>
      <c r="D10" s="508"/>
      <c r="E10" s="1168">
        <f>IF(ISNUMBER(Datos!AQ10),Datos!AQ10," - ")</f>
        <v>5</v>
      </c>
      <c r="F10" s="225">
        <f>IF(ISNUMBER(Datos!L10+Datos!K10-Datos!J10),Datos!L10+Datos!K10-Datos!J10," - ")</f>
        <v>526</v>
      </c>
      <c r="G10" s="225">
        <f>IF(ISNUMBER(Datos!I10),Datos!I10," - ")</f>
        <v>526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219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916</v>
      </c>
      <c r="Z10" s="619">
        <f>IF(ISNUMBER(Datos!Q10),Datos!Q10," - ")</f>
        <v>213</v>
      </c>
      <c r="AA10" s="332">
        <f>IF(ISNUMBER(Datos!L10),Datos!L10,"-")</f>
        <v>480</v>
      </c>
      <c r="AB10" s="334"/>
      <c r="AC10" s="334"/>
      <c r="AD10" s="484"/>
      <c r="AE10" s="484">
        <f>IF(ISNUMBER(Datos!R10),Datos!R10," - ")</f>
        <v>592</v>
      </c>
      <c r="AF10" s="229" t="str">
        <f>IF(ISNUMBER(Datos!BV10),Datos!BV10," - ")</f>
        <v xml:space="preserve"> - </v>
      </c>
      <c r="AG10" s="225" t="str">
        <f>IF(ISNUMBER(Datos!DV10),Datos!DV10," - ")</f>
        <v xml:space="preserve"> - </v>
      </c>
      <c r="AH10" s="298"/>
      <c r="AI10" s="227"/>
      <c r="AJ10" s="225">
        <f>IF(ISNUMBER(Datos!M10),Datos!M10," - ")</f>
        <v>331</v>
      </c>
      <c r="AK10" s="229">
        <f>IF(ISNUMBER(Datos!N10),Datos!N10," - ")</f>
        <v>368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5.7641921397379914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1.0238907849829351E-2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8</v>
      </c>
      <c r="B11" s="507" t="s">
        <v>246</v>
      </c>
      <c r="C11" s="7" t="str">
        <f>Datos!A11</f>
        <v xml:space="preserve">Jdos. Familia                                   </v>
      </c>
      <c r="D11" s="508"/>
      <c r="E11" s="1168">
        <f>IF(ISNUMBER(Datos!AQ11),Datos!AQ11," - ")</f>
        <v>8</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919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1751</v>
      </c>
      <c r="AA11" s="332" t="str">
        <f>IF(ISNUMBER(IF(J_V="SI",Datos!L11,Datos!L11+Datos!AB11)-IF(Monitorios="SI",Datos!CD11,0)),
                          IF(J_V="SI",Datos!L11,Datos!L11+Datos!AB11)-IF(Monitorios="SI",Datos!CD11,0),
                          " - ")</f>
        <v xml:space="preserve"> - </v>
      </c>
      <c r="AB11" s="334"/>
      <c r="AC11" s="334"/>
      <c r="AD11" s="484"/>
      <c r="AE11" s="484">
        <f>IF(ISNUMBER(Datos!R11),Datos!R11," - ")</f>
        <v>2918</v>
      </c>
      <c r="AF11" s="229" t="str">
        <f>IF(ISNUMBER(Datos!BV11),Datos!BV11," - ")</f>
        <v xml:space="preserve"> - </v>
      </c>
      <c r="AG11" s="225" t="str">
        <f>IF(ISNUMBER(Datos!DV11),Datos!DV11," - ")</f>
        <v xml:space="preserve"> - </v>
      </c>
      <c r="AH11" s="298"/>
      <c r="AI11" s="227"/>
      <c r="AJ11" s="225">
        <f>IF(ISNUMBER(Datos!M11),Datos!M11," - ")</f>
        <v>3438</v>
      </c>
      <c r="AK11" s="229">
        <f>IF(ISNUMBER(Datos!N11),Datos!N11," - ")</f>
        <v>2268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4.1823431284486077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-0.22186666666666666</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67</v>
      </c>
      <c r="F13" s="898">
        <f>SUBTOTAL(9,F8:F12)</f>
        <v>526</v>
      </c>
      <c r="G13" s="898">
        <f>SUBTOTAL(9,G8:G12)</f>
        <v>526</v>
      </c>
      <c r="H13" s="908"/>
      <c r="I13" s="898">
        <f t="shared" ref="I13:N13" si="0">SUBTOTAL(9,I8:I12)</f>
        <v>0</v>
      </c>
      <c r="J13" s="867">
        <f t="shared" si="0"/>
        <v>0</v>
      </c>
      <c r="K13" s="908">
        <f t="shared" si="0"/>
        <v>0</v>
      </c>
      <c r="L13" s="908">
        <f t="shared" si="0"/>
        <v>0</v>
      </c>
      <c r="M13" s="908">
        <f t="shared" si="0"/>
        <v>0</v>
      </c>
      <c r="N13" s="908">
        <f t="shared" si="0"/>
        <v>21236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916</v>
      </c>
      <c r="Z13" s="907">
        <f t="shared" si="2"/>
        <v>27548</v>
      </c>
      <c r="AA13" s="900">
        <f t="shared" si="2"/>
        <v>480</v>
      </c>
      <c r="AB13" s="900">
        <f t="shared" si="2"/>
        <v>0</v>
      </c>
      <c r="AC13" s="900">
        <f t="shared" si="2"/>
        <v>0</v>
      </c>
      <c r="AD13" s="900">
        <f t="shared" si="2"/>
        <v>0</v>
      </c>
      <c r="AE13" s="900">
        <f t="shared" si="2"/>
        <v>77154</v>
      </c>
      <c r="AF13" s="908">
        <f t="shared" si="2"/>
        <v>0</v>
      </c>
      <c r="AG13" s="908">
        <f t="shared" si="2"/>
        <v>0</v>
      </c>
      <c r="AH13" s="908">
        <f t="shared" si="2"/>
        <v>0</v>
      </c>
      <c r="AI13" s="908">
        <f t="shared" si="2"/>
        <v>0</v>
      </c>
      <c r="AJ13" s="908">
        <f t="shared" si="2"/>
        <v>30942</v>
      </c>
      <c r="AK13" s="908">
        <f t="shared" si="2"/>
        <v>49210</v>
      </c>
      <c r="AL13" s="908">
        <f t="shared" si="2"/>
        <v>0</v>
      </c>
      <c r="AM13" s="908">
        <f t="shared" si="2"/>
        <v>0</v>
      </c>
      <c r="AN13" s="908">
        <f t="shared" si="2"/>
        <v>0</v>
      </c>
      <c r="AO13" s="904">
        <f>IF(ISNUMBER(((NºAsuntos!I13/NºAsuntos!G13)*11)/factor_trimestre),((NºAsuntos!I13/NºAsuntos!G13)*11)/factor_trimestre," - ")</f>
        <v>5.8489931064430332</v>
      </c>
      <c r="AP13" s="910" t="str">
        <f>IF(ISNUMBER(Datos!CI13/Datos!CJ13),Datos!CI13/Datos!CJ13," - ")</f>
        <v xml:space="preserve"> - </v>
      </c>
      <c r="AQ13" s="928">
        <f t="shared" ref="AQ13:AV13" si="3">SUBTOTAL(9,AQ9:AQ12)</f>
        <v>0</v>
      </c>
      <c r="AR13" s="928">
        <f t="shared" si="3"/>
        <v>-0.2809567111737184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33</v>
      </c>
      <c r="B15" s="507" t="s">
        <v>396</v>
      </c>
      <c r="C15" s="160" t="str">
        <f>Datos!A15</f>
        <v xml:space="preserve">Jdos. Instrucción                               </v>
      </c>
      <c r="D15" s="502"/>
      <c r="E15" s="1168">
        <f>IF(ISNUMBER(Datos!AQ15),Datos!AQ15," - ")</f>
        <v>33</v>
      </c>
      <c r="F15" s="333">
        <f>IF(ISNUMBER(AA15+Y15-Datos!J15-K15),AA15+Y15-Datos!J15-K15," - ")</f>
        <v>21683</v>
      </c>
      <c r="G15" s="225">
        <f>IF(ISNUMBER(IF(D_I="SI",Datos!I15,Datos!I15+Datos!AC15)),IF(D_I="SI",Datos!I15,Datos!I15+Datos!AC15)," - ")</f>
        <v>18669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10322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122511</v>
      </c>
      <c r="Z15" s="619">
        <f>IF(ISNUMBER(Datos!Q15),Datos!Q15," - ")</f>
        <v>10935</v>
      </c>
      <c r="AA15" s="332">
        <f>IF(ISNUMBER(IF(D_I="SI",Datos!L15,Datos!L15+Datos!AF15)),IF(D_I="SI",Datos!L15,Datos!L15+Datos!AF15)," - ")</f>
        <v>22021</v>
      </c>
      <c r="AB15" s="334"/>
      <c r="AC15" s="334"/>
      <c r="AD15" s="484"/>
      <c r="AE15" s="484">
        <f>IF(ISNUMBER(Datos!R15),Datos!R15," - ")</f>
        <v>4194</v>
      </c>
      <c r="AF15" s="229" t="str">
        <f>IF(ISNUMBER(Datos!BV15),Datos!BV15," - ")</f>
        <v xml:space="preserve"> - </v>
      </c>
      <c r="AG15" s="225"/>
      <c r="AH15" s="298"/>
      <c r="AI15" s="227"/>
      <c r="AJ15" s="225">
        <f>IF(ISNUMBER(Datos!M15),Datos!M15," - ")</f>
        <v>21431</v>
      </c>
      <c r="AK15" s="229">
        <f>IF(ISNUMBER(Datos!N15),Datos!N15," - ")</f>
        <v>63796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1.9772183722278001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5</v>
      </c>
      <c r="B17" s="507" t="s">
        <v>396</v>
      </c>
      <c r="C17" s="7" t="str">
        <f>Datos!A17</f>
        <v>Jdos. Violencia contra la mujer</v>
      </c>
      <c r="D17" s="508"/>
      <c r="E17" s="1168">
        <f>IF(ISNUMBER(Datos!AQ17),Datos!AQ17," - ")</f>
        <v>5</v>
      </c>
      <c r="F17" s="225" t="str">
        <f>IF(ISNUMBER(AA17+Y17-I17-K17),AA17+Y17-I17-K17," - ")</f>
        <v xml:space="preserve"> - </v>
      </c>
      <c r="G17" s="523">
        <f>IF(ISNUMBER(IF(D_I="SI",Datos!I17,Datos!I17+Datos!AC17)),IF(D_I="SI",Datos!I17,Datos!I17+Datos!AC17)," - ")</f>
        <v>1803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7768</v>
      </c>
      <c r="Z17" s="619">
        <f>IF(ISNUMBER(Datos!Q17),Datos!Q17," - ")</f>
        <v>32</v>
      </c>
      <c r="AA17" s="332">
        <f>IF(ISNUMBER(Datos!L17),Datos!L17,"-")</f>
        <v>1692</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177</v>
      </c>
      <c r="AK17" s="229">
        <f>IF(ISNUMBER(Datos!N17),Datos!N17," - ")</f>
        <v>4473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2.3959835221421213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38</v>
      </c>
      <c r="F18" s="898">
        <f>SUBTOTAL(9,F15:F17)</f>
        <v>21683</v>
      </c>
      <c r="G18" s="898">
        <f>SUBTOTAL(9,G15:G17)</f>
        <v>20472</v>
      </c>
      <c r="H18" s="932">
        <f>SUBTOTAL(9,H15:H17)</f>
        <v>0</v>
      </c>
      <c r="I18" s="911">
        <f>SUBTOTAL(9,I15:I17)</f>
        <v>0</v>
      </c>
      <c r="J18" s="867">
        <f>SUBTOTAL(9,J14:J17)</f>
        <v>0</v>
      </c>
      <c r="K18" s="932">
        <f t="shared" ref="K18:S18" si="4">SUBTOTAL(9,K15:K17)</f>
        <v>0</v>
      </c>
      <c r="L18" s="932">
        <f t="shared" si="4"/>
        <v>0</v>
      </c>
      <c r="M18" s="932">
        <f t="shared" si="4"/>
        <v>0</v>
      </c>
      <c r="N18" s="932">
        <f t="shared" si="4"/>
        <v>10347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130279</v>
      </c>
      <c r="Z18" s="932">
        <f t="shared" si="5"/>
        <v>10967</v>
      </c>
      <c r="AA18" s="932">
        <f t="shared" si="5"/>
        <v>23713</v>
      </c>
      <c r="AB18" s="932">
        <f t="shared" si="5"/>
        <v>0</v>
      </c>
      <c r="AC18" s="932">
        <f t="shared" si="5"/>
        <v>0</v>
      </c>
      <c r="AD18" s="932">
        <f t="shared" si="5"/>
        <v>0</v>
      </c>
      <c r="AE18" s="932">
        <f t="shared" si="5"/>
        <v>4206</v>
      </c>
      <c r="AF18" s="932">
        <f t="shared" si="5"/>
        <v>0</v>
      </c>
      <c r="AG18" s="932">
        <f t="shared" si="5"/>
        <v>0</v>
      </c>
      <c r="AH18" s="932">
        <f t="shared" si="5"/>
        <v>0</v>
      </c>
      <c r="AI18" s="932">
        <f t="shared" si="5"/>
        <v>0</v>
      </c>
      <c r="AJ18" s="932">
        <f t="shared" si="5"/>
        <v>21608</v>
      </c>
      <c r="AK18" s="932">
        <f t="shared" si="5"/>
        <v>68269</v>
      </c>
      <c r="AL18" s="932">
        <f t="shared" si="5"/>
        <v>0</v>
      </c>
      <c r="AM18" s="932">
        <f t="shared" si="5"/>
        <v>0</v>
      </c>
      <c r="AN18" s="932">
        <f t="shared" si="5"/>
        <v>0</v>
      </c>
      <c r="AO18" s="934">
        <f>IF(ISNUMBER(((NºAsuntos!I18/NºAsuntos!G18)*11)/factor_trimestre),((NºAsuntos!I18/NºAsuntos!G18)*11)/factor_trimestre," - ")</f>
        <v>2.0021876127388145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105</v>
      </c>
      <c r="F19" s="820">
        <f t="shared" si="7"/>
        <v>22209</v>
      </c>
      <c r="G19" s="820">
        <f t="shared" si="7"/>
        <v>20998</v>
      </c>
      <c r="H19" s="821">
        <f t="shared" si="7"/>
        <v>0</v>
      </c>
      <c r="I19" s="820">
        <f t="shared" si="7"/>
        <v>0</v>
      </c>
      <c r="J19" s="822">
        <f t="shared" si="7"/>
        <v>0</v>
      </c>
      <c r="K19" s="820">
        <f t="shared" si="7"/>
        <v>0</v>
      </c>
      <c r="L19" s="823">
        <f t="shared" si="7"/>
        <v>0</v>
      </c>
      <c r="M19" s="820">
        <f t="shared" si="7"/>
        <v>0</v>
      </c>
      <c r="N19" s="821">
        <f t="shared" si="7"/>
        <v>31583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131195</v>
      </c>
      <c r="Z19" s="827">
        <f t="shared" si="8"/>
        <v>38515</v>
      </c>
      <c r="AA19" s="828">
        <f t="shared" si="8"/>
        <v>24193</v>
      </c>
      <c r="AB19" s="828">
        <f t="shared" si="8"/>
        <v>0</v>
      </c>
      <c r="AC19" s="828">
        <f t="shared" si="8"/>
        <v>0</v>
      </c>
      <c r="AD19" s="829">
        <f t="shared" si="8"/>
        <v>0</v>
      </c>
      <c r="AE19" s="829">
        <f t="shared" si="8"/>
        <v>81360</v>
      </c>
      <c r="AF19" s="830">
        <f t="shared" si="8"/>
        <v>0</v>
      </c>
      <c r="AG19" s="831">
        <f t="shared" si="8"/>
        <v>0</v>
      </c>
      <c r="AH19" s="832">
        <f t="shared" si="8"/>
        <v>0</v>
      </c>
      <c r="AI19" s="830">
        <f t="shared" si="8"/>
        <v>0</v>
      </c>
      <c r="AJ19" s="820">
        <f t="shared" si="8"/>
        <v>52550</v>
      </c>
      <c r="AK19" s="820">
        <f t="shared" si="8"/>
        <v>117479</v>
      </c>
      <c r="AL19" s="820">
        <f t="shared" si="8"/>
        <v>0</v>
      </c>
      <c r="AM19" s="833">
        <f t="shared" si="8"/>
        <v>0</v>
      </c>
      <c r="AN19" s="823">
        <f>IF(ISNUMBER(Datos!K19/Datos!J19),Datos!K19/Datos!J19," - ")</f>
        <v>0.99144514956121343</v>
      </c>
      <c r="AO19" s="823">
        <f>IF(ISNUMBER(FIND("06",Criterios!A8,1)),(IF(ISNUMBER(((Datos!R19/Datos!Q19)*11)/factor_trimestre),((Datos!R19/Datos!Q19)*11)/factor_trimestre," - ")),(IF(ISNUMBER(((Datos!L19/Datos!K19)*11)/factor_trimestre),((Datos!L19/Datos!K19)*11)/factor_trimestre," - ")))</f>
        <v>3.8479358034000546</v>
      </c>
      <c r="AP19" s="834" t="str">
        <f>IF(ISNUMBER(Datos!CI19/Datos!CJ19),Datos!CI19/Datos!CJ19," - ")</f>
        <v xml:space="preserve"> - </v>
      </c>
      <c r="AQ19" s="834">
        <f>IF(OR(ISNUMBER(FIND("01",Criterios!A8,1)),ISNUMBER(FIND("02",Criterios!A8,1)),ISNUMBER(FIND("03",Criterios!A8,1)),ISNUMBER(FIND("04",Criterios!A8,1))),(J19-Y19+K19)/(F19-K19),(I19-Y19+K19)/(F19-K19))</f>
        <v>-5.907289837453285</v>
      </c>
      <c r="AR19" s="834">
        <f>IF(ISNUMBER((Datos!P19-Datos!Q19+O19)/(Datos!R19-Datos!P19+Datos!Q19-O19)),(Datos!P19-Datos!Q19+O19)/(Datos!R19-Datos!P19+Datos!Q19-O19)," - ")</f>
        <v>-7.8512209486703219E-2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8399.2000000000007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12214.999645244912</v>
      </c>
      <c r="G21" s="552">
        <f>IF(ISNUMBER(STDEV(G8:G18)),STDEV(G8:G18),"-")</f>
        <v>10231.149774096752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13266.072160644559</v>
      </c>
      <c r="AK21" s="252"/>
      <c r="AL21" s="252">
        <f>IF(ISNUMBER(STDEV(AL8:AL18)),STDEV(AL8:AL18),"-")</f>
        <v>0</v>
      </c>
      <c r="AM21" s="254">
        <f>IF(ISNUMBER(STDEV(AM8:AM18)),STDEV(AM8:AM18),"-")</f>
        <v>0</v>
      </c>
      <c r="AN21" s="539">
        <f>IF(ISNUMBER(STDEV(AN8:AN18)),STDEV(AN8:AN18),"-")</f>
        <v>0</v>
      </c>
      <c r="AO21" s="540">
        <f>IF(ISNUMBER(STDEV(AO8:AO18)),STDEV(AO8:AO18),"-")</f>
        <v>1.876466714322345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J8+jnmu6gpNwJb4pUbRU9qBGoBVqj6G5Q6elCDxmD1usMvB48l7mkPMHbDd95LQVSMhOa8UXP38YCEb9dIhXWQ==" saltValue="FbqlRdtH9t8pKJvdAXd5h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MuHAO1frx/jcpYtQXdCNnnzS7RbbtUyMc5rbyIeQXN3lBzc/RLHw4aVzur6UOi8LMLZ+fCw6UII/qB1pEMFag==" saltValue="cIW4f/zsOCNBNR4ZKh1j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0Ct2M7i7zyMGZydBZR58azK+2wh8APBDV0lVKqQKJ33tI6Pt6PqUUMXF+vNHeq8Y3wGIbNRElzs/y2o69AfdA==" saltValue="rax/dKjUzuhMAEevQvf3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BARCELONA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0.27992183683439181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0.19793462902779274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aFAe6pofSsGWajbkoxRz7OZcBJqnzCs6Q7s/XoQdP57b+emgCk9rYMffXtOr1vnQrqQ3v3sJx3m2RhvZWAHVg==" saltValue="XQ8hmyA3ugx7TeRQDSD3J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Be7UaHHPxT2r/ty45NACnhw2eP8rKh67UVLVi5/usL3elATEERuBNXi8g7o1DecJV59ZvdzVQtex+PL47yWkA==" saltValue="UBXGbTISfY8N+ReYQ5Vj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BARCELONA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54</v>
      </c>
      <c r="B9" s="501" t="s">
        <v>246</v>
      </c>
      <c r="C9" s="160" t="str">
        <f>Datos!A9</f>
        <v xml:space="preserve">Jdos. 1ª Instancia   </v>
      </c>
      <c r="D9" s="502"/>
      <c r="E9" s="682">
        <f>IF(ISNUMBER(Datos!AQ9),Datos!AQ9," - ")</f>
        <v>54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5</v>
      </c>
      <c r="B10" s="507" t="s">
        <v>246</v>
      </c>
      <c r="C10" s="7" t="str">
        <f>Datos!A10</f>
        <v>Jdos. Violencia contra la mujer</v>
      </c>
      <c r="D10" s="508"/>
      <c r="E10" s="682">
        <f>IF(ISNUMBER(Datos!AQ10),Datos!AQ10," - ")</f>
        <v>5</v>
      </c>
      <c r="F10" s="683">
        <f>IF(ISNUMBER(Datos!L10+Datos!K10-Datos!J10),Datos!L10+Datos!K10-Datos!J10," - ")</f>
        <v>526</v>
      </c>
      <c r="G10" s="684">
        <f>IF(ISNUMBER(Datos!I10),Datos!I10," - ")</f>
        <v>526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219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916</v>
      </c>
      <c r="AC10" s="683" t="str">
        <f>IF(ISNUMBER(IF(D_I="SI",DatosP!K17,DatosP!K17+DatosP!AE17)),IF(D_I="SI",DatosP!K17,DatosP!K17+DatosP!AE17)," - ")</f>
        <v xml:space="preserve"> - </v>
      </c>
      <c r="AD10" s="685"/>
      <c r="AE10" s="685"/>
      <c r="AF10" s="688">
        <f>IF(ISNUMBER(Datos!L10),Datos!L10,"-")</f>
        <v>480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331</v>
      </c>
      <c r="AM10" s="690">
        <f>IF(ISNUMBER(Datos!N10+DatosP!N17),Datos!N10+DatosP!N17," - ")</f>
        <v>368</v>
      </c>
      <c r="AN10" s="690">
        <f>IF(ISNUMBER(Datos!BW10+DatosP!BW17),Datos!BW10+DatosP!BW17," - ")</f>
        <v>0</v>
      </c>
      <c r="AO10" s="691">
        <f>IF(ISNUMBER(Datos!BX10+DatosP!BX17),Datos!BX10+DatosP!BX17," - ")</f>
        <v>0</v>
      </c>
      <c r="AP10" s="693">
        <f>IF(ISNUMBER(((Datos!L10/Datos!K10)*11)/factor_trimestre),((Datos!L10/Datos!K10)*11)/factor_trimestre," - ")</f>
        <v>5.7641921397379914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8</v>
      </c>
      <c r="B11" s="507" t="s">
        <v>246</v>
      </c>
      <c r="C11" s="7" t="str">
        <f>Datos!A11</f>
        <v xml:space="preserve">Jdos. Familia                                   </v>
      </c>
      <c r="D11" s="508"/>
      <c r="E11" s="682">
        <f>IF(ISNUMBER(Datos!AQ11),Datos!AQ11," - ")</f>
        <v>8</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67</v>
      </c>
      <c r="F13" s="938">
        <f t="shared" si="0"/>
        <v>526</v>
      </c>
      <c r="G13" s="938">
        <f t="shared" si="0"/>
        <v>526</v>
      </c>
      <c r="H13" s="938">
        <f t="shared" si="0"/>
        <v>0</v>
      </c>
      <c r="I13" s="940">
        <f t="shared" si="0"/>
        <v>0</v>
      </c>
      <c r="J13" s="939">
        <f t="shared" si="0"/>
        <v>0</v>
      </c>
      <c r="K13" s="939">
        <f t="shared" si="0"/>
        <v>0</v>
      </c>
      <c r="L13" s="941">
        <f t="shared" si="0"/>
        <v>0</v>
      </c>
      <c r="M13" s="941">
        <f t="shared" si="0"/>
        <v>0</v>
      </c>
      <c r="N13" s="939">
        <f t="shared" si="0"/>
        <v>219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916</v>
      </c>
      <c r="AC13" s="939">
        <f t="shared" si="1"/>
        <v>0</v>
      </c>
      <c r="AD13" s="939">
        <f t="shared" si="1"/>
        <v>0</v>
      </c>
      <c r="AE13" s="939">
        <f t="shared" si="1"/>
        <v>0</v>
      </c>
      <c r="AF13" s="939">
        <f t="shared" si="1"/>
        <v>480</v>
      </c>
      <c r="AG13" s="939">
        <f t="shared" si="1"/>
        <v>0</v>
      </c>
      <c r="AH13" s="939">
        <f t="shared" si="1"/>
        <v>0</v>
      </c>
      <c r="AI13" s="939">
        <f t="shared" si="1"/>
        <v>0</v>
      </c>
      <c r="AJ13" s="939">
        <f t="shared" si="1"/>
        <v>0</v>
      </c>
      <c r="AK13" s="939">
        <f t="shared" si="1"/>
        <v>0</v>
      </c>
      <c r="AL13" s="939">
        <f t="shared" si="1"/>
        <v>331</v>
      </c>
      <c r="AM13" s="939">
        <f t="shared" si="1"/>
        <v>368</v>
      </c>
      <c r="AN13" s="939">
        <f t="shared" si="1"/>
        <v>0</v>
      </c>
      <c r="AO13" s="939">
        <f t="shared" si="1"/>
        <v>0</v>
      </c>
      <c r="AP13" s="944">
        <f>IF(ISNUMBER(((Datos!L13/Datos!K13)*11)/factor_trimestre),((Datos!L13/Datos!K13)*11)/factor_trimestre," - ")</f>
        <v>6.1796003064123575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-1.7414448669201521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5</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2.0021876127388145</v>
      </c>
      <c r="AQ18" s="944">
        <f>IF(ISNUMBER(((Datos!M18/Datos!L18)*11)/factor_trimestre),((Datos!M18/Datos!L18)*11)/factor_trimestre," - ")</f>
        <v>10.023531396280521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-0.12847078325735597</v>
      </c>
      <c r="AW18" s="946">
        <f>IF(ISNUMBER((Datos!Q18-Datos!R18)/(Datos!S18-Datos!Q18+Datos!R18)),(Datos!Q18-Datos!R18)/(Datos!S18-Datos!Q18+Datos!R18)," - ")</f>
        <v>0.71461790508402923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67</v>
      </c>
      <c r="F19" s="951">
        <f t="shared" si="4"/>
        <v>526</v>
      </c>
      <c r="G19" s="951">
        <f t="shared" si="4"/>
        <v>526</v>
      </c>
      <c r="H19" s="951">
        <f t="shared" si="4"/>
        <v>0</v>
      </c>
      <c r="I19" s="952">
        <f t="shared" si="4"/>
        <v>0</v>
      </c>
      <c r="J19" s="953">
        <f t="shared" si="4"/>
        <v>0</v>
      </c>
      <c r="K19" s="953">
        <f t="shared" si="4"/>
        <v>0</v>
      </c>
      <c r="L19" s="953">
        <f t="shared" si="4"/>
        <v>0</v>
      </c>
      <c r="M19" s="953">
        <f t="shared" si="4"/>
        <v>0</v>
      </c>
      <c r="N19" s="952">
        <f t="shared" si="4"/>
        <v>219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916</v>
      </c>
      <c r="AC19" s="957">
        <f t="shared" si="5"/>
        <v>0</v>
      </c>
      <c r="AD19" s="957">
        <f t="shared" si="5"/>
        <v>0</v>
      </c>
      <c r="AE19" s="957">
        <f t="shared" si="5"/>
        <v>0</v>
      </c>
      <c r="AF19" s="958">
        <f t="shared" si="5"/>
        <v>480</v>
      </c>
      <c r="AG19" s="958">
        <f t="shared" si="5"/>
        <v>0</v>
      </c>
      <c r="AH19" s="958">
        <f t="shared" si="5"/>
        <v>0</v>
      </c>
      <c r="AI19" s="958">
        <f t="shared" si="5"/>
        <v>0</v>
      </c>
      <c r="AJ19" s="959">
        <f t="shared" si="5"/>
        <v>0</v>
      </c>
      <c r="AK19" s="959">
        <f t="shared" si="5"/>
        <v>0</v>
      </c>
      <c r="AL19" s="951">
        <f t="shared" si="5"/>
        <v>331</v>
      </c>
      <c r="AM19" s="951">
        <f t="shared" si="5"/>
        <v>368</v>
      </c>
      <c r="AN19" s="951">
        <f t="shared" si="5"/>
        <v>0</v>
      </c>
      <c r="AO19" s="951">
        <f t="shared" si="5"/>
        <v>0</v>
      </c>
      <c r="AP19" s="951">
        <f>IF(ISNUMBER(((Datos!L19/Datos!K19)*11)/factor_trimestre),((Datos!L19/Datos!K19)*11)/factor_trimestre," - ")</f>
        <v>3.8479358034000546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-1.7414448669201521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-7.8512209486703219E-2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350.66666666666669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30.004444115275103</v>
      </c>
      <c r="F21" s="736">
        <f>IF(ISNUMBER(STDEV(F8:F18)),STDEV(F8:F18),"-")</f>
        <v>303.68624159374315</v>
      </c>
      <c r="G21" s="737">
        <f>IF(ISNUMBER(STDEV(G8:G18)),STDEV(G8:G18),"-")</f>
        <v>303.68624159374315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528.85284657769728</v>
      </c>
      <c r="AC21" s="738">
        <f>IF(ISNUMBER(STDEV(AC8:AC18)),STDEV(AC8:AC18),"-")</f>
        <v>0</v>
      </c>
      <c r="AD21" s="741"/>
      <c r="AE21" s="741"/>
      <c r="AF21" s="741"/>
      <c r="AG21" s="741"/>
      <c r="AH21" s="741"/>
      <c r="AI21" s="741"/>
      <c r="AJ21" s="742">
        <f>IF(ISNUMBER(STDEV(AJ8:AJ18)),STDEV(AJ8:AJ18),"-")</f>
        <v>0</v>
      </c>
      <c r="AK21" s="744"/>
      <c r="AL21" s="736">
        <f>IF(ISNUMBER(STDEV(AL8:AL18)),STDEV(AL8:AL18),"-")</f>
        <v>191.10293910176611</v>
      </c>
      <c r="AM21" s="736"/>
      <c r="AN21" s="736">
        <f>IF(ISNUMBER(STDEV(AN8:AN18)),STDEV(AN8:AN18),"-")</f>
        <v>0</v>
      </c>
      <c r="AO21" s="742">
        <f>IF(ISNUMBER(STDEV(AO8:AO18)),STDEV(AO8:AO18),"-")</f>
        <v>0</v>
      </c>
      <c r="AP21" s="779">
        <f>IF(ISNUMBER(STDEV(AP8:AP18)),STDEV(AP8:AP18),"-")</f>
        <v>2.3013046596574651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vmiFPflorkkoJTt16sfFnZ5NTAUpTWc8LYk069H11+OrAZgUgGTvt9P5fZH3nBlD8Qe+AWdYt6s9gnXlbO1j8w==" saltValue="7UXeneMkyzPPKcDQFCDu0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